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4800" activeTab="0"/>
  </bookViews>
  <sheets>
    <sheet name="Stock Market" sheetId="1" r:id="rId1"/>
    <sheet name="Company Analysis" sheetId="2" r:id="rId2"/>
    <sheet name="Analysis of Ratios" sheetId="3" r:id="rId3"/>
    <sheet name="Analysis of Financial Statement" sheetId="4" r:id="rId4"/>
    <sheet name="Glossary" sheetId="5" r:id="rId5"/>
  </sheets>
  <definedNames/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J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interest rate has risen for the third time in a year; 4.5, 4.75, &amp; 5.00</t>
        </r>
      </text>
    </comment>
    <comment ref="N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New taxes for homeowners introduced.</t>
        </r>
      </text>
    </comment>
    <comment ref="T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MD to retire early.</t>
        </r>
      </text>
    </comment>
    <comment ref="Q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Morrisons considering selling land to improve performance.</t>
        </r>
      </text>
    </comment>
    <comment ref="I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Russia is to supply 10%  of UK gas in 3 years.  </t>
        </r>
      </text>
    </comment>
    <comment ref="I4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Saddam Hussein's half brother hanged and decapitated.</t>
        </r>
      </text>
    </comment>
    <comment ref="E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stock market ended 2006 in bad health.</t>
        </r>
      </text>
    </comment>
    <comment ref="P5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Office of Fair Trading is going to investigate bank's unfair penalty fees.</t>
        </r>
      </text>
    </comment>
    <comment ref="R5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Prudential is to gain control of £9 billion in surplus assets.  </t>
        </r>
      </text>
    </comment>
    <comment ref="T5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safety record damned by inquiry.</t>
        </r>
      </text>
    </comment>
    <comment ref="R6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Most pensioners must live on around £4,000 a year.</t>
        </r>
      </text>
    </comment>
    <comment ref="N6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Inflation reaches 11 year high.</t>
        </r>
      </text>
    </comment>
    <comment ref="M7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5% rise in council tax.
</t>
        </r>
      </text>
    </comment>
    <comment ref="T8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Russia's environment agency is to investigate BP's joint venture is running a giant field in the country.</t>
        </r>
      </text>
    </comment>
    <comment ref="K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Based on CPI and found on Bank of England website.</t>
        </r>
      </text>
    </comment>
    <comment ref="D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inflationdata.com/inflation/inflation_rate/currentinflation.asp  As at Dec 06</t>
        </r>
      </text>
    </comment>
    <comment ref="C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www.money-rates.com/fed.htm</t>
        </r>
      </text>
    </comment>
    <comment ref="P8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US is investment banks re on-line gambling. US law bans all such transactions and the US wants to protect its domestic gambling. On-line poker is illegal in the US.  </t>
        </r>
      </text>
    </comment>
    <comment ref="I8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Warm weather in the northern hemisphere has kept oil prices low.  </t>
        </r>
      </text>
    </comment>
    <comment ref="I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In early August oil was $80 a barrel, over the last six months it has dropped 30%.
Iran is currently not in the index.</t>
        </r>
      </text>
    </comment>
    <comment ref="T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BP's share price has fallen 17% since August, dropping from 650 to 540.</t>
        </r>
      </text>
    </comment>
    <comment ref="T9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to invest £355 million during next 6 years to develop gas fields in Oman.</t>
        </r>
      </text>
    </comment>
    <comment ref="P10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Lloyds TSB has increased agreed overdraft rates 1.29% making the banks £56 million in additional revenue.</t>
        </r>
      </text>
    </comment>
    <comment ref="F10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£ reaches highes levels against $ in 14 years.</t>
        </r>
      </text>
    </comment>
    <comment ref="N10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House prices are up 183% in just 10 years.</t>
        </r>
      </text>
    </comment>
    <comment ref="E1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Pricey Britain just 37th best place to live.</t>
        </r>
      </text>
    </comment>
    <comment ref="H1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Shell set to smash all profit records with 2006 earnings of £12.5 billion.</t>
        </r>
      </text>
    </comment>
    <comment ref="S1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Vodafone is set to issue a solid set of 3rd quarter earnings and is bidding for Indian rival Hutchinson Essar.</t>
        </r>
      </text>
    </comment>
    <comment ref="J1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It has been revealed that the housing market was dramatically slowing down even before the raise in interest rates.</t>
        </r>
      </text>
    </comment>
    <comment ref="N1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lack of housing for sales means there is likely to be pressure on the housing market for the rest of 2007. House prices are expected to rise £1,000 a month for the next year.</t>
        </r>
      </text>
    </comment>
    <comment ref="R14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Pru sells Egg for £575m
</t>
        </r>
      </text>
    </comment>
    <comment ref="I14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decrease in fuel price mean higher profits in airlines are expected.</t>
        </r>
      </text>
    </comment>
    <comment ref="K15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Families will be hit with a tax hike of £13 billion in the next 5 years.</t>
        </r>
      </text>
    </comment>
    <comment ref="N16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Mortgage repossessions rise by 66%</t>
        </r>
      </text>
    </comment>
    <comment ref="S16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Vodafone's acquisitions of developing countries makes it 200m customers.</t>
        </r>
      </text>
    </comment>
    <comment ref="I17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Shell hits record profits with £13 bn.</t>
        </r>
      </text>
    </comment>
    <comment ref="T18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is expected to unveil its worst quarterly profit in nearly 3 years due to weak production, petrol prices, refining margins, increased russian taxes.</t>
        </r>
      </text>
    </comment>
    <comment ref="T20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puts safety first as it slashed production forecasts, plans for increased investment and fall in profits.</t>
        </r>
      </text>
    </comment>
    <comment ref="I2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Oil at $60 a barrell brings Footsie to new high.</t>
        </r>
      </text>
    </comment>
    <comment ref="T2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Lawyers call to freeze Lord Browne's pension and pay-off packages because of reckless actions.</t>
        </r>
      </text>
    </comment>
    <comment ref="S2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Vodafone buys Hutchinson Essar (Indian mobile company) for £5.7bn</t>
        </r>
      </text>
    </comment>
    <comment ref="T24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UK's biggest investor groups call for BP to make key changes to prevent safety failures.</t>
        </r>
      </text>
    </comment>
    <comment ref="K2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If the interest rate is above 3% then the Bank governer has to write a letter to the Chancellor of the Exchequer to explain.</t>
        </r>
      </text>
    </comment>
    <comment ref="S27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Essar is going to go into partnership with Vodafone.</t>
        </r>
      </text>
    </comment>
    <comment ref="T28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under pressure to buy Russian assets.</t>
        </r>
      </text>
    </comment>
    <comment ref="P28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Lloyds is considering selling abbey life for £1 billion.</t>
        </r>
      </text>
    </comment>
    <comment ref="R30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Insurer announced strong with profit fund results</t>
        </r>
      </text>
    </comment>
    <comment ref="I30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An alternative to petrol, as biobutanol.</t>
        </r>
      </text>
    </comment>
    <comment ref="R43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Prudential is considering pulling out of individuals pensions and unit linked bonds because of poor performance in the UK.
</t>
        </r>
      </text>
    </comment>
    <comment ref="T50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safety lapses blamed for blast.</t>
        </r>
      </text>
    </comment>
    <comment ref="I54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The Iranian crisis is expecting the price of crude to increase.</t>
        </r>
      </text>
    </comment>
    <comment ref="I65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Petrol heads for £1 a liter barrier due to fuel shortages and middle east conflict.</t>
        </r>
      </text>
    </comment>
    <comment ref="T65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is bidding for  a gas operation in UAE.</t>
        </r>
      </text>
    </comment>
    <comment ref="P67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Lloyds is making a muslim friendly bank account. They already have muslim friendly mortgages.</t>
        </r>
      </text>
    </comment>
    <comment ref="R69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Prudential to see health insurance through Boots</t>
        </r>
      </text>
    </comment>
    <comment ref="M7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Brown's taxes put economy in a mess.</t>
        </r>
      </text>
    </comment>
    <comment ref="T72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Oil price dip hits BP profits.</t>
        </r>
      </text>
    </comment>
    <comment ref="T77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BP Chief quits in rent boy scandal.</t>
        </r>
      </text>
    </comment>
    <comment ref="I77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Petrol hits £1 a litre.</t>
        </r>
      </text>
    </comment>
    <comment ref="R74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Prudential to send high skilled jobs to India</t>
        </r>
      </text>
    </comment>
    <comment ref="I81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Drivers get millions after petrol damages engines</t>
        </r>
      </text>
    </comment>
    <comment ref="T81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Fresh safety fears for BP</t>
        </r>
      </text>
    </comment>
    <comment ref="T97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Russians stall on BP decision.</t>
        </r>
      </text>
    </comment>
    <comment ref="T98" authorId="0">
      <text>
        <r>
          <rPr>
            <b/>
            <sz val="8"/>
            <rFont val="Tahoma"/>
            <family val="0"/>
          </rPr>
          <t>SEC:</t>
        </r>
        <r>
          <rPr>
            <sz val="8"/>
            <rFont val="Tahoma"/>
            <family val="0"/>
          </rPr>
          <t xml:space="preserve">
Putin turns screw on BP in gas row</t>
        </r>
      </text>
    </comment>
  </commentList>
</comments>
</file>

<file path=xl/sharedStrings.xml><?xml version="1.0" encoding="utf-8"?>
<sst xmlns="http://schemas.openxmlformats.org/spreadsheetml/2006/main" count="6512" uniqueCount="390">
  <si>
    <t>Date</t>
  </si>
  <si>
    <t>Sterling/Dollar</t>
  </si>
  <si>
    <t>Sterling/Euro</t>
  </si>
  <si>
    <t>Gold</t>
  </si>
  <si>
    <t>Brent Crude</t>
  </si>
  <si>
    <t>Retail Price Index</t>
  </si>
  <si>
    <t>Unemployment</t>
  </si>
  <si>
    <t>Lloyds TSB</t>
  </si>
  <si>
    <t>Morrisons Supermarket</t>
  </si>
  <si>
    <t>Prudential Insurance</t>
  </si>
  <si>
    <t>Vodafone</t>
  </si>
  <si>
    <t>BP</t>
  </si>
  <si>
    <t>FTSE 100</t>
  </si>
  <si>
    <t>Remarks</t>
  </si>
  <si>
    <t>Base Interest Rate %</t>
  </si>
  <si>
    <t>Halifax Mortgage %</t>
  </si>
  <si>
    <t>House Price Inflation%</t>
  </si>
  <si>
    <t xml:space="preserve"> </t>
  </si>
  <si>
    <t>Wall Street</t>
  </si>
  <si>
    <t>UK Inflation%</t>
  </si>
  <si>
    <t>Federal Reserve Funds Rate %</t>
  </si>
  <si>
    <t>US Core Inflation%</t>
  </si>
  <si>
    <t xml:space="preserve">All of the ratios used in this analysis can be obtained by looking at the company's balance </t>
  </si>
  <si>
    <t>Current ratio</t>
  </si>
  <si>
    <t>Assets</t>
  </si>
  <si>
    <t>Year</t>
  </si>
  <si>
    <t>Current assets</t>
  </si>
  <si>
    <t>Long term assets</t>
  </si>
  <si>
    <t>Total Assets</t>
  </si>
  <si>
    <t>'000</t>
  </si>
  <si>
    <t>Liabilities and shareholders equity/deficit</t>
  </si>
  <si>
    <t>Current Liabilities</t>
  </si>
  <si>
    <t>Long term debt</t>
  </si>
  <si>
    <t>Other long term liabilities</t>
  </si>
  <si>
    <t>Shareholders equity/(deficit)</t>
  </si>
  <si>
    <t>Total liabilities</t>
  </si>
  <si>
    <t>Temporary equity</t>
  </si>
  <si>
    <t>Condensed Consolidated Balance Sheet</t>
  </si>
  <si>
    <t>$</t>
  </si>
  <si>
    <t>Condensed Consolidated Statement of Operations and Comprehansive Income/(Loss)</t>
  </si>
  <si>
    <t>Operating Revenues</t>
  </si>
  <si>
    <t>Cost of Operating Revenues</t>
  </si>
  <si>
    <t>Contract Profit</t>
  </si>
  <si>
    <t>Selling, general, admin expses</t>
  </si>
  <si>
    <t>Interest expense</t>
  </si>
  <si>
    <t>Other income</t>
  </si>
  <si>
    <t>Net asbestos-related gains/(provisions)</t>
  </si>
  <si>
    <t>Prior domestic senior credit agreement fees &amp; expenses</t>
  </si>
  <si>
    <t>Loss of debt reduction initiatives</t>
  </si>
  <si>
    <t>Return on Capital Employed</t>
  </si>
  <si>
    <t>Net Profit Margin on Sales</t>
  </si>
  <si>
    <t xml:space="preserve">sheet, and trading and profit and loss account, and cash flow statement, which can be obtain </t>
  </si>
  <si>
    <t>in the company's annual report.</t>
  </si>
  <si>
    <t>Gearing Ratio</t>
  </si>
  <si>
    <t>Interest Cover</t>
  </si>
  <si>
    <t>Provision for income taxes</t>
  </si>
  <si>
    <t>Net income/(loss)</t>
  </si>
  <si>
    <t>Other comprehansive income/(loss) items</t>
  </si>
  <si>
    <t>Net comprehensive income/(loss)</t>
  </si>
  <si>
    <t>Return on Equity</t>
  </si>
  <si>
    <t>Earnings per common share</t>
  </si>
  <si>
    <t>Basic</t>
  </si>
  <si>
    <t>Diluted</t>
  </si>
  <si>
    <t>Beginning cash</t>
  </si>
  <si>
    <t>Ending cash</t>
  </si>
  <si>
    <t>Operational gearing</t>
  </si>
  <si>
    <t>First Sample Company - Foster Wheeler</t>
  </si>
  <si>
    <t>Second Sample Company - Xansa</t>
  </si>
  <si>
    <t>£</t>
  </si>
  <si>
    <t>Formulas used</t>
  </si>
  <si>
    <t>Capital employed = total assets - current liabilities</t>
  </si>
  <si>
    <t>million</t>
  </si>
  <si>
    <t>Current liabilities</t>
  </si>
  <si>
    <t>Revenue (sales)</t>
  </si>
  <si>
    <t>Cost of sales</t>
  </si>
  <si>
    <t>Net cash used in financing activities</t>
  </si>
  <si>
    <t>Effect of exchange rate changes on cash</t>
  </si>
  <si>
    <t>Cash Flow Statement</t>
  </si>
  <si>
    <t xml:space="preserve">Current ratio = current assets/current liabilities </t>
  </si>
  <si>
    <t>Net Cash generated from operations</t>
  </si>
  <si>
    <t>Net cash used in investing activities</t>
  </si>
  <si>
    <t xml:space="preserve">Return on Capital Employed = (profit before tax and interest/capital employed) * 100 </t>
  </si>
  <si>
    <t>Interest paid</t>
  </si>
  <si>
    <t>Tax paid</t>
  </si>
  <si>
    <t xml:space="preserve">Income/(loss) before taxes </t>
  </si>
  <si>
    <t>Net profit margin on Sales = (income before interest and tax/operating revenues) * 100</t>
  </si>
  <si>
    <t>Gross Profit margin</t>
  </si>
  <si>
    <t>Gross profit margin = (gross profit/revenues) * 100</t>
  </si>
  <si>
    <t>Gross profit</t>
  </si>
  <si>
    <t>Asset turnover = operating revenues - capital employed</t>
  </si>
  <si>
    <t>Capital Employed £million</t>
  </si>
  <si>
    <t>Contribution £million</t>
  </si>
  <si>
    <t>Asset Turnover £million</t>
  </si>
  <si>
    <t>Total assets</t>
  </si>
  <si>
    <t xml:space="preserve">Gearing ratio = (total liabilities/capital employed) * 100 </t>
  </si>
  <si>
    <t>Operational gearing = (revenues - cost of revenues)/gross profit</t>
  </si>
  <si>
    <t xml:space="preserve">Interest cover = gross profit/interest expense </t>
  </si>
  <si>
    <t>Return on equity</t>
  </si>
  <si>
    <t xml:space="preserve">Net Profit </t>
  </si>
  <si>
    <t>Contribution = sales - cost of sales</t>
  </si>
  <si>
    <t>Total equity</t>
  </si>
  <si>
    <t>Return on Equity = (net income/equity) * 100</t>
  </si>
  <si>
    <t>Capital Employed</t>
  </si>
  <si>
    <t xml:space="preserve">Contribution </t>
  </si>
  <si>
    <t xml:space="preserve">Asset Turnover </t>
  </si>
  <si>
    <t>ratios</t>
  </si>
  <si>
    <t xml:space="preserve">sheet, and trading and profit and loss account, and cash flow statement, which can be found </t>
  </si>
  <si>
    <t>Template</t>
  </si>
  <si>
    <t>Notes on what to test for:-</t>
  </si>
  <si>
    <t>Check the cash spent on investing because SOX means that companies that comply with SOX</t>
  </si>
  <si>
    <t>are less inclined to spend money on investing.</t>
  </si>
  <si>
    <t>Check monetary policy, to include interest rates, inflation and unemployment of US and UK.</t>
  </si>
  <si>
    <t>Check beginning and ending cash because Enron went bankrupt because they did not have</t>
  </si>
  <si>
    <t>enough cash.</t>
  </si>
  <si>
    <t xml:space="preserve">sheet, trading and profit and loss account, and cash flow statement, which can be found </t>
  </si>
  <si>
    <t>US Listed Companies - 1. Flour</t>
  </si>
  <si>
    <t>Gross profit (contribution)</t>
  </si>
  <si>
    <t>Average</t>
  </si>
  <si>
    <t>US Listed Companies - 2. Jacobs Engineering Group</t>
  </si>
  <si>
    <t xml:space="preserve">US Listed Companies - 3. Target Corporation </t>
  </si>
  <si>
    <t>Check data from CIA website</t>
  </si>
  <si>
    <t>Check inflation rates from the US and UK for the past year</t>
  </si>
  <si>
    <t>Check stock market figures for US and UK for the past year.</t>
  </si>
  <si>
    <t xml:space="preserve">US Listed Companies - 4. Verizon Communications </t>
  </si>
  <si>
    <t xml:space="preserve">US Listed Companies - 5. McDonalds Corporation </t>
  </si>
  <si>
    <t xml:space="preserve">US Listed Companies - 6. Macy's </t>
  </si>
  <si>
    <t xml:space="preserve">US Listed Companies - 7. Honeywell International </t>
  </si>
  <si>
    <t xml:space="preserve">US Listed Companies - 8. Microsoft Corporation </t>
  </si>
  <si>
    <t xml:space="preserve">US Listed Companies - 9. American Express Company </t>
  </si>
  <si>
    <t xml:space="preserve">US Listed Companies - 9. Delta Airlines </t>
  </si>
  <si>
    <t xml:space="preserve">US Listed Companies - 10. Molson Coors Brewing Company </t>
  </si>
  <si>
    <t xml:space="preserve">US Listed Companies - 11. Mastercard Inc </t>
  </si>
  <si>
    <t>UK Listed Companies - 1. Northern Rock</t>
  </si>
  <si>
    <t>UK Listed Companies - 2. ITV</t>
  </si>
  <si>
    <t>UK Listed Companies - 2. Wm Morrison Supermarkets Plc</t>
  </si>
  <si>
    <t>UK Listed Companies - 3. Home Retail Group</t>
  </si>
  <si>
    <t>UK Listed Companies - 3.  Yell Group Plc</t>
  </si>
  <si>
    <t>UK Listed Companies - 3. Smiths Group</t>
  </si>
  <si>
    <t>UK Listed Companies - 4. The British Land Company</t>
  </si>
  <si>
    <t>UK Listed Companies - 4. Capita Group Plc</t>
  </si>
  <si>
    <t>UK Listed Companies - 5. Carphone Warehouse Group Plc</t>
  </si>
  <si>
    <t>UK Listed Companies - 6. Compass Group Plc</t>
  </si>
  <si>
    <t>UK Listed Companies - 7. Friends Provident Plc</t>
  </si>
  <si>
    <t>UK Listed Companies - 7. Scottish &amp; Newcastle</t>
  </si>
  <si>
    <t>UK Listed Companies - 8. Tate &amp; Lyle</t>
  </si>
  <si>
    <t>UK Listed Companies - 9. Marks &amp; Spencers</t>
  </si>
  <si>
    <t>UK Listed Companies - 10. Psion</t>
  </si>
  <si>
    <t>UK Listed Companies - 11. Easy Jet</t>
  </si>
  <si>
    <t xml:space="preserve">Cross Listed Companies - 1. Anglo American Plc </t>
  </si>
  <si>
    <t xml:space="preserve">Cross Listed Companies - 2. AstraZeneca Plc </t>
  </si>
  <si>
    <t>In the 2005 Annual Report the format of the Balance Sheet was changed</t>
  </si>
  <si>
    <t>In the 2005 Annual Report the format for the Cash Flow Statement changed</t>
  </si>
  <si>
    <t>Problems</t>
  </si>
  <si>
    <t>Barclays did not have a cash flow statement</t>
  </si>
  <si>
    <t xml:space="preserve">Cross Listed Companies - 3. BP </t>
  </si>
  <si>
    <t xml:space="preserve">Cross Listed Companies - 4. Diageo </t>
  </si>
  <si>
    <t>Good Points</t>
  </si>
  <si>
    <t xml:space="preserve">BP was a pleasure to analyse because they have a five year analysis, they did not restate their </t>
  </si>
  <si>
    <t xml:space="preserve">figures, and they did not change the format of their financial statements from one year to the next.  </t>
  </si>
  <si>
    <t xml:space="preserve">Cross Listed Companies - 5.  GlaxoSmithKline Plc </t>
  </si>
  <si>
    <t xml:space="preserve">Cross Listed Companies - 6.  Invesco Plc </t>
  </si>
  <si>
    <t>Invesco was restructured in 2005 and had a US regulatory settlement in 2004</t>
  </si>
  <si>
    <t xml:space="preserve">Net Profit/loss </t>
  </si>
  <si>
    <t xml:space="preserve">Cross Listed Companies - 7. Pearson Plc </t>
  </si>
  <si>
    <t xml:space="preserve">Cross Listed Companies - 8. Royal Bank of Scotland </t>
  </si>
  <si>
    <t xml:space="preserve">Cross Listed Companies - 9.  Smith &amp; Nephew </t>
  </si>
  <si>
    <t xml:space="preserve">Cross Listed Companies - 10. Reuters Group Plc </t>
  </si>
  <si>
    <t xml:space="preserve">Cross Listed Companies - 11. WPP Group Plc </t>
  </si>
  <si>
    <t>US Listed Companies</t>
  </si>
  <si>
    <t>Company</t>
  </si>
  <si>
    <t>Currency</t>
  </si>
  <si>
    <t>2004 Old Cash Flow Statement</t>
  </si>
  <si>
    <t>2003 Old Cash Flow Statement</t>
  </si>
  <si>
    <t>2002 Old Cash Flow Statement</t>
  </si>
  <si>
    <t>Fluor</t>
  </si>
  <si>
    <t>Jacobs</t>
  </si>
  <si>
    <t>X</t>
  </si>
  <si>
    <t>Target</t>
  </si>
  <si>
    <t>Verizon</t>
  </si>
  <si>
    <t>McDonalds</t>
  </si>
  <si>
    <t>Macy's</t>
  </si>
  <si>
    <t>2005 Accounting Restatement</t>
  </si>
  <si>
    <t>2004 Accounting Restatement</t>
  </si>
  <si>
    <t>2003 Accounting Restatement</t>
  </si>
  <si>
    <t>Honeywell</t>
  </si>
  <si>
    <t>Microsoft</t>
  </si>
  <si>
    <t>Delta Airlines</t>
  </si>
  <si>
    <t>2002 Accounting Restatement</t>
  </si>
  <si>
    <t>Coors</t>
  </si>
  <si>
    <t>Mastercard</t>
  </si>
  <si>
    <t>Total</t>
  </si>
  <si>
    <t xml:space="preserve">Total </t>
  </si>
  <si>
    <t>UK Listed Companies</t>
  </si>
  <si>
    <t>Northern Rock</t>
  </si>
  <si>
    <t>Morrisons</t>
  </si>
  <si>
    <t>2006 Accounting Restatement</t>
  </si>
  <si>
    <t>Smiths Industries</t>
  </si>
  <si>
    <t>Capita Group</t>
  </si>
  <si>
    <t>Car Phone Warehouse</t>
  </si>
  <si>
    <t>Compass Group</t>
  </si>
  <si>
    <t>Scottish &amp; Newcastle</t>
  </si>
  <si>
    <t>Tate &amp; Lyle</t>
  </si>
  <si>
    <t>Psion</t>
  </si>
  <si>
    <t>Easy Jet</t>
  </si>
  <si>
    <t>Marks &amp; Spencers</t>
  </si>
  <si>
    <t>Cross Listed Companies</t>
  </si>
  <si>
    <t>Anglo-American Plc</t>
  </si>
  <si>
    <t>AstraZeneca Plc</t>
  </si>
  <si>
    <t>Diageo</t>
  </si>
  <si>
    <t>GlaxoSmithKline</t>
  </si>
  <si>
    <t>Invesco Plc</t>
  </si>
  <si>
    <t>£/$</t>
  </si>
  <si>
    <t>Pearson Plc</t>
  </si>
  <si>
    <t>Royal Bank of Scotland</t>
  </si>
  <si>
    <t>Smith &amp; Nephew</t>
  </si>
  <si>
    <t>Reuters Group Plc</t>
  </si>
  <si>
    <t>WPP Group</t>
  </si>
  <si>
    <t>Total Excluding Cash Flow Statements</t>
  </si>
  <si>
    <t>Summary</t>
  </si>
  <si>
    <t xml:space="preserve">Summary </t>
  </si>
  <si>
    <t>Converted to $ using a rate of $2 to £1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</si>
  <si>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</si>
  <si>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</si>
  <si>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</si>
  <si>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</si>
  <si>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</si>
  <si>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</si>
  <si>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</si>
  <si>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</si>
  <si>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</si>
  <si>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</si>
  <si>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</si>
  <si>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</si>
  <si>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</si>
  <si>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</si>
  <si>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</si>
  <si>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</si>
  <si>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</si>
  <si>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</si>
  <si>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</si>
  <si>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</si>
  <si>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</si>
  <si>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</si>
  <si>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</si>
  <si>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</si>
  <si>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</si>
  <si>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</si>
  <si>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</si>
  <si>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</si>
  <si>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</si>
  <si>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</si>
  <si>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</si>
  <si>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</si>
  <si>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</si>
  <si>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B1</t>
  </si>
  <si>
    <t>B2</t>
  </si>
  <si>
    <t>B3</t>
  </si>
  <si>
    <t>Basic Earnings per Share</t>
  </si>
  <si>
    <t>Diluted Earnings per Share</t>
  </si>
  <si>
    <t>Contribution</t>
  </si>
  <si>
    <t>Summary of Ratios</t>
  </si>
  <si>
    <t>Revenue (Sales)</t>
  </si>
  <si>
    <t xml:space="preserve">Macys </t>
  </si>
  <si>
    <t>Increase in Values</t>
  </si>
  <si>
    <t>Decrease in Values</t>
  </si>
  <si>
    <t>C1</t>
  </si>
  <si>
    <t>C2</t>
  </si>
  <si>
    <t>C3</t>
  </si>
  <si>
    <t>Smiths</t>
  </si>
  <si>
    <t>Capita</t>
  </si>
  <si>
    <t>CPW</t>
  </si>
  <si>
    <t>Compass</t>
  </si>
  <si>
    <t>S&amp;N</t>
  </si>
  <si>
    <t>M&amp;S</t>
  </si>
  <si>
    <t>EasyJet</t>
  </si>
  <si>
    <t>Anglo American</t>
  </si>
  <si>
    <t>AstraZeneca</t>
  </si>
  <si>
    <t>GSK</t>
  </si>
  <si>
    <t>Invesco</t>
  </si>
  <si>
    <t>Pearson</t>
  </si>
  <si>
    <t>RBS</t>
  </si>
  <si>
    <t>Reuters</t>
  </si>
  <si>
    <t>Notes</t>
  </si>
  <si>
    <t>Goodwill/IntangibleAssets</t>
  </si>
  <si>
    <t>Plant/Property/Tangible Assets</t>
  </si>
  <si>
    <t>C4</t>
  </si>
  <si>
    <t>US Increase in Value</t>
  </si>
  <si>
    <t>UK Increase in Value</t>
  </si>
  <si>
    <t>Cross Listed Increase in Value</t>
  </si>
  <si>
    <t>US Decrease in Value</t>
  </si>
  <si>
    <t>UK Decrease in Value</t>
  </si>
  <si>
    <t>Cross Listed Decrease in Value</t>
  </si>
  <si>
    <t>Summary of Findings</t>
  </si>
  <si>
    <t>Summary of Values</t>
  </si>
  <si>
    <t>Rating of Companies Analysed</t>
  </si>
  <si>
    <t>C5</t>
  </si>
  <si>
    <t>Desired Direction of Movement</t>
  </si>
  <si>
    <t>increase</t>
  </si>
  <si>
    <t xml:space="preserve">increase </t>
  </si>
  <si>
    <t>decrease</t>
  </si>
  <si>
    <t>Total Score</t>
  </si>
  <si>
    <t>Note:  The lowest score is awarded the highest rating</t>
  </si>
  <si>
    <t>Cash used in Investments</t>
  </si>
  <si>
    <t>Rating</t>
  </si>
  <si>
    <t>Cash Generated from Operations</t>
  </si>
  <si>
    <t>Cash used in financing</t>
  </si>
  <si>
    <t>Cash generated from operations</t>
  </si>
  <si>
    <t>Term</t>
  </si>
  <si>
    <t>Definition</t>
  </si>
  <si>
    <t>AAT</t>
  </si>
  <si>
    <t>Association of Accounting Technicians (UK)</t>
  </si>
  <si>
    <t>AICPA</t>
  </si>
  <si>
    <t>American Institute of Certified Public Accountants (US)</t>
  </si>
  <si>
    <t>AIM</t>
  </si>
  <si>
    <t>Alternative Investment Market (UK)</t>
  </si>
  <si>
    <t>AGM</t>
  </si>
  <si>
    <t>Annual General Meeting</t>
  </si>
  <si>
    <t>CPI</t>
  </si>
  <si>
    <t>Consumer Price Index</t>
  </si>
  <si>
    <t>DIP</t>
  </si>
  <si>
    <t>Debtor in Possession</t>
  </si>
  <si>
    <t>DOL</t>
  </si>
  <si>
    <t>Department of Labor (US)</t>
  </si>
  <si>
    <t>EC</t>
  </si>
  <si>
    <t>European Commission</t>
  </si>
  <si>
    <t>ECB</t>
  </si>
  <si>
    <t>European Central Bank</t>
  </si>
  <si>
    <t>FASB</t>
  </si>
  <si>
    <t>Financial Accounting Standards Board (US)</t>
  </si>
  <si>
    <t>FCPA</t>
  </si>
  <si>
    <t>Foreign Corrupt Practices Act (US)</t>
  </si>
  <si>
    <t>FEI</t>
  </si>
  <si>
    <t>Financial Executives International</t>
  </si>
  <si>
    <t>FMV</t>
  </si>
  <si>
    <t>Fair market value</t>
  </si>
  <si>
    <t>FRC</t>
  </si>
  <si>
    <t>Financial Reporting Council (UK)</t>
  </si>
  <si>
    <t>FSC</t>
  </si>
  <si>
    <t>Federal Sentencing Commission (US)</t>
  </si>
  <si>
    <t>GAAP</t>
  </si>
  <si>
    <t>Generally Accepted Accounting Principles (US)</t>
  </si>
  <si>
    <t>GASB</t>
  </si>
  <si>
    <t>Governmental Accounting Standards Board (US)</t>
  </si>
  <si>
    <t>HBOS</t>
  </si>
  <si>
    <t>Halifax Bank of Scotland (UK)</t>
  </si>
  <si>
    <t>IAS</t>
  </si>
  <si>
    <t xml:space="preserve">International Accounting Standard </t>
  </si>
  <si>
    <t>IASB</t>
  </si>
  <si>
    <t>International Accounting Standards Board</t>
  </si>
  <si>
    <t>IASC</t>
  </si>
  <si>
    <t>International Accounting Standards Committee</t>
  </si>
  <si>
    <t>ICAEW</t>
  </si>
  <si>
    <t>Institute of Chartered Accountants for England and Wales (UK)</t>
  </si>
  <si>
    <t xml:space="preserve">ICD </t>
  </si>
  <si>
    <t>Internal Control Deficiency</t>
  </si>
  <si>
    <t>IFRS</t>
  </si>
  <si>
    <t>International Financial Reporting Standard</t>
  </si>
  <si>
    <t>IMF</t>
  </si>
  <si>
    <t>International Monetary Fund</t>
  </si>
  <si>
    <t xml:space="preserve">IPO </t>
  </si>
  <si>
    <t>Initial Public Offering</t>
  </si>
  <si>
    <t>IR</t>
  </si>
  <si>
    <t>Inland Revenue (UK)</t>
  </si>
  <si>
    <t>IRS</t>
  </si>
  <si>
    <t>Internal Revenue Service (US)</t>
  </si>
  <si>
    <t>LSE</t>
  </si>
  <si>
    <t>London Stock Exchange (UK)</t>
  </si>
  <si>
    <t>NYSE</t>
  </si>
  <si>
    <t>New York Stock Exchange (US)</t>
  </si>
  <si>
    <t>OFR</t>
  </si>
  <si>
    <t>Operating and Financial Review (UK)</t>
  </si>
  <si>
    <t>OFT</t>
  </si>
  <si>
    <t>Office of Fair Trading (UK)</t>
  </si>
  <si>
    <t>PCAOB</t>
  </si>
  <si>
    <t>Public Company Accounting Oversight Board (US)</t>
  </si>
  <si>
    <t>RPI</t>
  </si>
  <si>
    <t>Retail Price Index (UK)</t>
  </si>
  <si>
    <t>SEC</t>
  </si>
  <si>
    <t>United States Security and Exchange Commission (US)</t>
  </si>
  <si>
    <t>SFAS</t>
  </si>
  <si>
    <t>Statement of Financial Accounting Standards</t>
  </si>
  <si>
    <t>SFO</t>
  </si>
  <si>
    <t>Serious Fraud Office (UK)</t>
  </si>
  <si>
    <t>SIMEX</t>
  </si>
  <si>
    <t>Singapore International Monetary Exchange</t>
  </si>
  <si>
    <t>SOX</t>
  </si>
  <si>
    <t>Sarbanes-Oxley Act 2002 (US)</t>
  </si>
  <si>
    <t>SPE</t>
  </si>
  <si>
    <t>Special Purpose Entity</t>
  </si>
  <si>
    <t>D1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</si>
</sst>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&quot;£&quot;#,##0"/>
    <numFmt numFmtId="168" formatCode="&quot;£&quot;#,##0.00"/>
    <numFmt numFmtId="169" formatCode="#,##0.00_ ;\-#,##0.0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4" fontId="1" fillId="0" borderId="0" xfId="0" applyNumberFormat="1" applyFont="1" applyAlignment="1">
      <alignment wrapText="1"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3" fontId="0" fillId="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166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43" fontId="5" fillId="0" borderId="0" xfId="0" applyNumberFormat="1" applyFont="1" applyAlignment="1">
      <alignment/>
    </xf>
    <xf numFmtId="43" fontId="5" fillId="2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41" fontId="5" fillId="2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41" fontId="5" fillId="3" borderId="0" xfId="0" applyNumberFormat="1" applyFont="1" applyFill="1" applyAlignment="1">
      <alignment/>
    </xf>
    <xf numFmtId="41" fontId="5" fillId="3" borderId="0" xfId="0" applyNumberFormat="1" applyFont="1" applyFill="1" applyBorder="1" applyAlignment="1">
      <alignment/>
    </xf>
    <xf numFmtId="43" fontId="5" fillId="3" borderId="0" xfId="0" applyNumberFormat="1" applyFont="1" applyFill="1" applyBorder="1" applyAlignment="1">
      <alignment/>
    </xf>
    <xf numFmtId="4" fontId="5" fillId="3" borderId="0" xfId="0" applyNumberFormat="1" applyFont="1" applyFill="1" applyAlignment="1">
      <alignment/>
    </xf>
    <xf numFmtId="43" fontId="5" fillId="3" borderId="0" xfId="0" applyNumberFormat="1" applyFont="1" applyFill="1" applyAlignment="1">
      <alignment/>
    </xf>
    <xf numFmtId="43" fontId="4" fillId="3" borderId="0" xfId="0" applyNumberFormat="1" applyFont="1" applyFill="1" applyAlignment="1">
      <alignment horizontal="center"/>
    </xf>
    <xf numFmtId="43" fontId="4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/>
    </xf>
    <xf numFmtId="0" fontId="4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5" borderId="0" xfId="0" applyFont="1" applyFill="1" applyBorder="1" applyAlignment="1">
      <alignment/>
    </xf>
    <xf numFmtId="0" fontId="4" fillId="5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41" fontId="5" fillId="5" borderId="0" xfId="0" applyNumberFormat="1" applyFont="1" applyFill="1" applyAlignment="1">
      <alignment/>
    </xf>
    <xf numFmtId="41" fontId="5" fillId="5" borderId="0" xfId="0" applyNumberFormat="1" applyFont="1" applyFill="1" applyBorder="1" applyAlignment="1">
      <alignment/>
    </xf>
    <xf numFmtId="43" fontId="5" fillId="5" borderId="0" xfId="0" applyNumberFormat="1" applyFont="1" applyFill="1" applyBorder="1" applyAlignment="1">
      <alignment/>
    </xf>
    <xf numFmtId="4" fontId="5" fillId="5" borderId="0" xfId="0" applyNumberFormat="1" applyFont="1" applyFill="1" applyAlignment="1">
      <alignment/>
    </xf>
    <xf numFmtId="43" fontId="5" fillId="5" borderId="0" xfId="0" applyNumberFormat="1" applyFont="1" applyFill="1" applyAlignment="1">
      <alignment/>
    </xf>
    <xf numFmtId="43" fontId="4" fillId="5" borderId="0" xfId="0" applyNumberFormat="1" applyFont="1" applyFill="1" applyAlignment="1">
      <alignment horizontal="center"/>
    </xf>
    <xf numFmtId="43" fontId="4" fillId="5" borderId="0" xfId="0" applyNumberFormat="1" applyFont="1" applyFill="1" applyBorder="1" applyAlignment="1">
      <alignment horizontal="center"/>
    </xf>
    <xf numFmtId="2" fontId="5" fillId="5" borderId="0" xfId="0" applyNumberFormat="1" applyFont="1" applyFill="1" applyAlignment="1">
      <alignment/>
    </xf>
    <xf numFmtId="0" fontId="4" fillId="6" borderId="0" xfId="0" applyFont="1" applyFill="1" applyBorder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Border="1" applyAlignment="1">
      <alignment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/>
    </xf>
    <xf numFmtId="41" fontId="5" fillId="6" borderId="0" xfId="0" applyNumberFormat="1" applyFont="1" applyFill="1" applyAlignment="1">
      <alignment/>
    </xf>
    <xf numFmtId="41" fontId="5" fillId="6" borderId="0" xfId="0" applyNumberFormat="1" applyFont="1" applyFill="1" applyBorder="1" applyAlignment="1">
      <alignment/>
    </xf>
    <xf numFmtId="43" fontId="5" fillId="6" borderId="0" xfId="0" applyNumberFormat="1" applyFont="1" applyFill="1" applyBorder="1" applyAlignment="1">
      <alignment/>
    </xf>
    <xf numFmtId="4" fontId="5" fillId="6" borderId="0" xfId="0" applyNumberFormat="1" applyFont="1" applyFill="1" applyAlignment="1">
      <alignment/>
    </xf>
    <xf numFmtId="43" fontId="5" fillId="6" borderId="0" xfId="0" applyNumberFormat="1" applyFont="1" applyFill="1" applyAlignment="1">
      <alignment/>
    </xf>
    <xf numFmtId="43" fontId="4" fillId="6" borderId="0" xfId="0" applyNumberFormat="1" applyFont="1" applyFill="1" applyAlignment="1">
      <alignment horizontal="center"/>
    </xf>
    <xf numFmtId="43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1" fontId="5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43" fontId="5" fillId="2" borderId="0" xfId="0" applyNumberFormat="1" applyFont="1" applyFill="1" applyAlignment="1">
      <alignment/>
    </xf>
    <xf numFmtId="43" fontId="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41" fontId="5" fillId="7" borderId="0" xfId="0" applyNumberFormat="1" applyFont="1" applyFill="1" applyAlignment="1">
      <alignment/>
    </xf>
    <xf numFmtId="4" fontId="5" fillId="7" borderId="0" xfId="0" applyNumberFormat="1" applyFont="1" applyFill="1" applyAlignment="1">
      <alignment/>
    </xf>
    <xf numFmtId="43" fontId="5" fillId="7" borderId="0" xfId="0" applyNumberFormat="1" applyFont="1" applyFill="1" applyAlignment="1">
      <alignment/>
    </xf>
    <xf numFmtId="43" fontId="4" fillId="7" borderId="0" xfId="0" applyNumberFormat="1" applyFont="1" applyFill="1" applyAlignment="1">
      <alignment horizontal="center"/>
    </xf>
    <xf numFmtId="2" fontId="5" fillId="7" borderId="0" xfId="0" applyNumberFormat="1" applyFont="1" applyFill="1" applyAlignment="1">
      <alignment/>
    </xf>
    <xf numFmtId="0" fontId="4" fillId="8" borderId="0" xfId="0" applyFont="1" applyFill="1" applyAlignment="1">
      <alignment horizontal="center"/>
    </xf>
    <xf numFmtId="41" fontId="5" fillId="8" borderId="0" xfId="0" applyNumberFormat="1" applyFont="1" applyFill="1" applyAlignment="1">
      <alignment/>
    </xf>
    <xf numFmtId="0" fontId="5" fillId="8" borderId="0" xfId="0" applyFont="1" applyFill="1" applyAlignment="1">
      <alignment/>
    </xf>
    <xf numFmtId="43" fontId="5" fillId="8" borderId="0" xfId="0" applyNumberFormat="1" applyFont="1" applyFill="1" applyAlignment="1">
      <alignment/>
    </xf>
    <xf numFmtId="43" fontId="4" fillId="8" borderId="0" xfId="0" applyNumberFormat="1" applyFont="1" applyFill="1" applyAlignment="1">
      <alignment horizontal="center"/>
    </xf>
    <xf numFmtId="2" fontId="5" fillId="8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textRotation="75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textRotation="90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41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1" fontId="4" fillId="3" borderId="0" xfId="0" applyNumberFormat="1" applyFont="1" applyFill="1" applyAlignment="1">
      <alignment/>
    </xf>
    <xf numFmtId="43" fontId="4" fillId="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3" fontId="5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0" fillId="4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90"/>
    </xf>
    <xf numFmtId="41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textRotation="90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41" fontId="6" fillId="0" borderId="2" xfId="0" applyNumberFormat="1" applyFont="1" applyBorder="1" applyAlignment="1">
      <alignment/>
    </xf>
    <xf numFmtId="4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4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wrapText="1"/>
    </xf>
    <xf numFmtId="41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3" xfId="0" applyNumberFormat="1" applyFont="1" applyBorder="1" applyAlignment="1">
      <alignment/>
    </xf>
    <xf numFmtId="0" fontId="7" fillId="0" borderId="7" xfId="0" applyFont="1" applyBorder="1" applyAlignment="1">
      <alignment/>
    </xf>
    <xf numFmtId="41" fontId="6" fillId="0" borderId="8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1" fontId="6" fillId="0" borderId="9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41" fontId="6" fillId="0" borderId="4" xfId="0" applyNumberFormat="1" applyFont="1" applyBorder="1" applyAlignment="1">
      <alignment/>
    </xf>
    <xf numFmtId="0" fontId="7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4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43"/>
  <sheetViews>
    <sheetView tabSelected="1" workbookViewId="0" topLeftCell="A1">
      <pane xSplit="1" ySplit="1" topLeftCell="J3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416" sqref="P416:Q416"/>
    </sheetView>
  </sheetViews>
  <sheetFormatPr defaultColWidth="9.140625" defaultRowHeight="12.75"/>
  <cols>
    <col min="1" max="1" width="9.7109375" style="0" bestFit="1" customWidth="1"/>
    <col min="6" max="6" width="8.8515625" style="0" customWidth="1"/>
    <col min="7" max="7" width="9.421875" style="0" customWidth="1"/>
    <col min="9" max="9" width="11.28125" style="0" customWidth="1"/>
    <col min="10" max="10" width="11.7109375" style="0" customWidth="1"/>
    <col min="11" max="11" width="10.00390625" style="0" customWidth="1"/>
    <col min="12" max="12" width="10.8515625" style="0" customWidth="1"/>
    <col min="14" max="14" width="11.140625" style="0" customWidth="1"/>
    <col min="15" max="15" width="14.8515625" style="0" customWidth="1"/>
    <col min="17" max="17" width="12.8515625" style="0" customWidth="1"/>
    <col min="18" max="18" width="11.421875" style="0" customWidth="1"/>
    <col min="19" max="19" width="10.7109375" style="0" customWidth="1"/>
    <col min="21" max="21" width="42.57421875" style="0" customWidth="1"/>
  </cols>
  <sheetData>
    <row r="1" spans="1:21" s="1" customFormat="1" ht="63.75">
      <c r="A1" s="1" t="s">
        <v>0</v>
      </c>
      <c r="B1" s="1" t="s">
        <v>18</v>
      </c>
      <c r="C1" s="1" t="s">
        <v>20</v>
      </c>
      <c r="D1" s="1" t="s">
        <v>21</v>
      </c>
      <c r="E1" s="1" t="s">
        <v>12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14</v>
      </c>
      <c r="K1" s="1" t="s">
        <v>19</v>
      </c>
      <c r="L1" s="1" t="s">
        <v>15</v>
      </c>
      <c r="M1" s="1" t="s">
        <v>5</v>
      </c>
      <c r="N1" s="1" t="s">
        <v>16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13</v>
      </c>
    </row>
    <row r="2" spans="1:21" ht="12.75">
      <c r="A2" s="2">
        <v>38729</v>
      </c>
      <c r="B2" s="6">
        <v>12520.3</v>
      </c>
      <c r="C2" s="3">
        <v>5.25</v>
      </c>
      <c r="D2" s="3">
        <v>2.54</v>
      </c>
      <c r="E2" s="6">
        <v>6230.1</v>
      </c>
      <c r="F2">
        <v>1.944</v>
      </c>
      <c r="G2">
        <v>1.507</v>
      </c>
      <c r="H2" s="3">
        <v>612</v>
      </c>
      <c r="I2">
        <v>52.73</v>
      </c>
      <c r="J2">
        <v>5.25</v>
      </c>
      <c r="K2" s="3">
        <v>3</v>
      </c>
      <c r="L2">
        <v>7.25</v>
      </c>
      <c r="M2">
        <v>3.9</v>
      </c>
      <c r="N2">
        <v>9.9</v>
      </c>
      <c r="O2" s="5">
        <v>950800</v>
      </c>
      <c r="P2">
        <v>583</v>
      </c>
      <c r="Q2">
        <v>286</v>
      </c>
      <c r="R2">
        <v>725</v>
      </c>
      <c r="S2">
        <v>149</v>
      </c>
      <c r="T2">
        <v>537</v>
      </c>
      <c r="U2" t="s">
        <v>17</v>
      </c>
    </row>
    <row r="3" spans="1:21" ht="12.75">
      <c r="A3" s="2">
        <v>38730</v>
      </c>
      <c r="B3" s="8">
        <v>12556.1</v>
      </c>
      <c r="C3" s="3">
        <v>5.25</v>
      </c>
      <c r="D3" s="3">
        <v>2.54</v>
      </c>
      <c r="E3" s="8">
        <v>6239</v>
      </c>
      <c r="F3" s="9">
        <v>1.958</v>
      </c>
      <c r="G3" s="10">
        <v>1.514</v>
      </c>
      <c r="H3" s="11">
        <v>619.75</v>
      </c>
      <c r="I3" s="12">
        <v>52.3</v>
      </c>
      <c r="J3">
        <v>5.25</v>
      </c>
      <c r="K3" s="3">
        <v>3</v>
      </c>
      <c r="L3">
        <v>7.25</v>
      </c>
      <c r="M3">
        <v>3.9</v>
      </c>
      <c r="N3">
        <v>9.9</v>
      </c>
      <c r="O3" s="5">
        <v>950800</v>
      </c>
      <c r="P3" s="9">
        <v>593</v>
      </c>
      <c r="Q3">
        <v>283</v>
      </c>
      <c r="R3">
        <v>723</v>
      </c>
      <c r="S3" s="9">
        <v>149.25</v>
      </c>
      <c r="T3" s="9">
        <v>546.5</v>
      </c>
      <c r="U3" t="s">
        <v>17</v>
      </c>
    </row>
    <row r="4" spans="1:20" ht="12.75">
      <c r="A4" s="2">
        <v>38733</v>
      </c>
      <c r="B4" s="14"/>
      <c r="C4" s="3">
        <v>5.25</v>
      </c>
      <c r="D4" s="3">
        <v>2.54</v>
      </c>
      <c r="E4" s="8">
        <v>6263.5</v>
      </c>
      <c r="F4" s="9">
        <v>1.965</v>
      </c>
      <c r="G4" s="10">
        <v>1.518</v>
      </c>
      <c r="H4" s="3">
        <v>619.75</v>
      </c>
      <c r="I4" s="9">
        <v>53.18</v>
      </c>
      <c r="J4">
        <v>5.25</v>
      </c>
      <c r="K4" s="3">
        <v>3</v>
      </c>
      <c r="L4">
        <v>7.25</v>
      </c>
      <c r="M4">
        <v>3.9</v>
      </c>
      <c r="N4">
        <v>9.9</v>
      </c>
      <c r="O4" s="5">
        <v>950800</v>
      </c>
      <c r="P4" s="9">
        <v>597.5</v>
      </c>
      <c r="Q4">
        <v>280.75</v>
      </c>
      <c r="R4">
        <v>721</v>
      </c>
      <c r="S4" s="9">
        <v>149.75</v>
      </c>
      <c r="T4" s="9">
        <v>549</v>
      </c>
    </row>
    <row r="5" spans="1:20" ht="12.75">
      <c r="A5" s="2">
        <v>38734</v>
      </c>
      <c r="B5" s="14">
        <v>12548</v>
      </c>
      <c r="C5" s="3">
        <v>5.25</v>
      </c>
      <c r="D5" s="3">
        <v>2.54</v>
      </c>
      <c r="E5" s="6">
        <v>6215.7</v>
      </c>
      <c r="F5">
        <v>1.961</v>
      </c>
      <c r="G5" s="7">
        <v>1.518</v>
      </c>
      <c r="H5" s="11">
        <v>627.05</v>
      </c>
      <c r="I5">
        <v>52.3</v>
      </c>
      <c r="J5">
        <v>5.25</v>
      </c>
      <c r="K5" s="3">
        <v>3</v>
      </c>
      <c r="L5">
        <v>7.25</v>
      </c>
      <c r="M5" s="9">
        <v>4.4</v>
      </c>
      <c r="N5">
        <v>9.9</v>
      </c>
      <c r="O5" s="5">
        <v>950800</v>
      </c>
      <c r="P5">
        <v>590</v>
      </c>
      <c r="Q5">
        <v>279.75</v>
      </c>
      <c r="R5">
        <v>719</v>
      </c>
      <c r="S5">
        <v>148.5</v>
      </c>
      <c r="T5">
        <v>541</v>
      </c>
    </row>
    <row r="6" spans="1:20" ht="12.75">
      <c r="A6" s="2">
        <v>38735</v>
      </c>
      <c r="B6" s="14">
        <v>12595.8</v>
      </c>
      <c r="C6" s="3">
        <v>5.25</v>
      </c>
      <c r="D6" s="3">
        <v>2.54</v>
      </c>
      <c r="E6" s="8">
        <v>6204.5</v>
      </c>
      <c r="F6" s="9">
        <v>1.972</v>
      </c>
      <c r="G6" s="10">
        <v>1.523</v>
      </c>
      <c r="H6" s="3">
        <v>625.6</v>
      </c>
      <c r="I6" s="9">
        <v>61.86</v>
      </c>
      <c r="J6">
        <v>5.25</v>
      </c>
      <c r="K6" s="3">
        <v>3</v>
      </c>
      <c r="L6">
        <v>7.25</v>
      </c>
      <c r="M6">
        <v>4.4</v>
      </c>
      <c r="N6">
        <v>9.9</v>
      </c>
      <c r="O6" s="13">
        <v>943100</v>
      </c>
      <c r="P6">
        <v>584</v>
      </c>
      <c r="Q6" s="9">
        <v>280.5</v>
      </c>
      <c r="R6" s="9">
        <v>723</v>
      </c>
      <c r="S6" s="9">
        <v>149.25</v>
      </c>
      <c r="T6">
        <v>536.5</v>
      </c>
    </row>
    <row r="7" spans="1:20" ht="12.75">
      <c r="A7" s="2">
        <v>39101</v>
      </c>
      <c r="B7" s="14">
        <v>12567.9</v>
      </c>
      <c r="C7" s="3">
        <v>5.25</v>
      </c>
      <c r="D7" s="3">
        <v>2.54</v>
      </c>
      <c r="E7" s="8">
        <v>6210.3</v>
      </c>
      <c r="F7" s="9">
        <v>1.972</v>
      </c>
      <c r="G7" s="7">
        <v>1.523</v>
      </c>
      <c r="H7" s="11">
        <v>635</v>
      </c>
      <c r="I7">
        <v>61.63</v>
      </c>
      <c r="J7">
        <v>5.25</v>
      </c>
      <c r="K7" s="3">
        <v>3</v>
      </c>
      <c r="L7">
        <v>7.25</v>
      </c>
      <c r="M7">
        <v>4.4</v>
      </c>
      <c r="N7">
        <v>9.9</v>
      </c>
      <c r="O7" s="5">
        <v>943100</v>
      </c>
      <c r="P7">
        <v>579.5</v>
      </c>
      <c r="Q7" s="9">
        <v>282.25</v>
      </c>
      <c r="R7">
        <v>723</v>
      </c>
      <c r="S7" s="9">
        <v>147.75</v>
      </c>
      <c r="T7">
        <v>536.5</v>
      </c>
    </row>
    <row r="8" spans="1:20" ht="12.75">
      <c r="A8" s="2">
        <v>39102</v>
      </c>
      <c r="B8" s="6">
        <v>12565.5</v>
      </c>
      <c r="C8" s="3">
        <v>5.25</v>
      </c>
      <c r="D8" s="3">
        <v>2.54</v>
      </c>
      <c r="E8" s="8">
        <v>6237.2</v>
      </c>
      <c r="F8" s="9">
        <v>1.975</v>
      </c>
      <c r="G8" s="7">
        <v>1.523</v>
      </c>
      <c r="H8" s="3">
        <v>629</v>
      </c>
      <c r="I8" s="9">
        <v>53.24</v>
      </c>
      <c r="J8">
        <v>5.25</v>
      </c>
      <c r="K8" s="3">
        <v>3</v>
      </c>
      <c r="L8">
        <v>7.25</v>
      </c>
      <c r="M8">
        <v>4.4</v>
      </c>
      <c r="N8">
        <v>9.9</v>
      </c>
      <c r="O8" s="5">
        <v>943100</v>
      </c>
      <c r="P8" s="9">
        <v>582</v>
      </c>
      <c r="Q8" s="9">
        <v>283.5</v>
      </c>
      <c r="R8">
        <v>718</v>
      </c>
      <c r="S8" s="9">
        <v>148.25</v>
      </c>
      <c r="T8" s="9">
        <v>543.5</v>
      </c>
    </row>
    <row r="9" spans="1:20" ht="12.75">
      <c r="A9" s="2">
        <v>39105</v>
      </c>
      <c r="B9" s="6">
        <v>12460.9</v>
      </c>
      <c r="C9" s="3">
        <v>5.25</v>
      </c>
      <c r="D9" s="3">
        <v>2.54</v>
      </c>
      <c r="E9" s="6">
        <v>6218.4</v>
      </c>
      <c r="F9" s="9">
        <v>1.977</v>
      </c>
      <c r="G9" s="10">
        <v>1.526</v>
      </c>
      <c r="H9" s="11">
        <v>639</v>
      </c>
      <c r="I9" s="3">
        <v>53.7</v>
      </c>
      <c r="J9">
        <v>5.25</v>
      </c>
      <c r="K9" s="3">
        <v>3</v>
      </c>
      <c r="L9">
        <v>7.25</v>
      </c>
      <c r="M9">
        <v>4.4</v>
      </c>
      <c r="N9">
        <v>9.9</v>
      </c>
      <c r="O9" s="5">
        <v>943100</v>
      </c>
      <c r="P9">
        <v>581</v>
      </c>
      <c r="Q9" s="9">
        <v>283.75</v>
      </c>
      <c r="R9">
        <v>718</v>
      </c>
      <c r="S9" s="9">
        <v>149.25</v>
      </c>
      <c r="T9">
        <v>541</v>
      </c>
    </row>
    <row r="10" spans="1:20" ht="12.75">
      <c r="A10" s="2">
        <v>39106</v>
      </c>
      <c r="B10" s="8">
        <v>12546.6</v>
      </c>
      <c r="C10" s="3">
        <v>5.25</v>
      </c>
      <c r="D10" s="3">
        <v>2.54</v>
      </c>
      <c r="E10" s="6">
        <v>6227.6</v>
      </c>
      <c r="F10" s="9">
        <v>1.984</v>
      </c>
      <c r="G10" s="7">
        <v>1.523</v>
      </c>
      <c r="H10" s="11">
        <v>642.5</v>
      </c>
      <c r="I10" s="11">
        <v>53.86</v>
      </c>
      <c r="J10">
        <v>5.25</v>
      </c>
      <c r="K10" s="3">
        <v>3</v>
      </c>
      <c r="L10" s="3">
        <v>7.25</v>
      </c>
      <c r="M10" s="6">
        <v>4.4</v>
      </c>
      <c r="N10" s="6">
        <v>9.9</v>
      </c>
      <c r="O10" s="5">
        <v>943100</v>
      </c>
      <c r="P10" s="3">
        <v>580.5</v>
      </c>
      <c r="Q10" s="9">
        <v>284</v>
      </c>
      <c r="R10" s="3">
        <v>710.5</v>
      </c>
      <c r="S10" s="12">
        <v>149.25</v>
      </c>
      <c r="T10" s="9">
        <v>545</v>
      </c>
    </row>
    <row r="11" spans="1:20" ht="12.75">
      <c r="A11" s="2">
        <v>39107</v>
      </c>
      <c r="B11" s="8">
        <v>12581.6</v>
      </c>
      <c r="C11" s="3">
        <v>5.25</v>
      </c>
      <c r="D11" s="3">
        <v>2.54</v>
      </c>
      <c r="E11" s="8">
        <v>6314.8</v>
      </c>
      <c r="F11" s="12">
        <v>1.966</v>
      </c>
      <c r="G11" s="7">
        <v>1.517</v>
      </c>
      <c r="H11" s="3">
        <v>642.5</v>
      </c>
      <c r="I11" s="11">
        <v>55.14</v>
      </c>
      <c r="J11">
        <v>5.25</v>
      </c>
      <c r="K11" s="3">
        <v>3</v>
      </c>
      <c r="L11" s="3">
        <v>7.25</v>
      </c>
      <c r="M11" s="6">
        <v>4.4</v>
      </c>
      <c r="N11" s="6">
        <v>9.9</v>
      </c>
      <c r="O11" s="5">
        <v>943100</v>
      </c>
      <c r="P11" s="9">
        <v>588</v>
      </c>
      <c r="Q11" s="9">
        <v>287.25</v>
      </c>
      <c r="R11" s="9">
        <v>717</v>
      </c>
      <c r="S11" s="9">
        <v>150.25</v>
      </c>
      <c r="T11" s="9">
        <v>548.5</v>
      </c>
    </row>
    <row r="12" spans="1:20" ht="12.75">
      <c r="A12" s="2">
        <v>39108</v>
      </c>
      <c r="B12" s="6">
        <v>12502.6</v>
      </c>
      <c r="C12" s="3">
        <v>5.25</v>
      </c>
      <c r="D12" s="3">
        <v>2.54</v>
      </c>
      <c r="E12" s="6">
        <v>6269.3</v>
      </c>
      <c r="F12" s="9">
        <v>1.97</v>
      </c>
      <c r="G12" s="10">
        <v>1.518</v>
      </c>
      <c r="H12" s="3">
        <v>642.5</v>
      </c>
      <c r="I12" s="3">
        <v>54.75</v>
      </c>
      <c r="J12">
        <v>5.25</v>
      </c>
      <c r="K12" s="3">
        <v>3</v>
      </c>
      <c r="L12" s="3">
        <v>7.25</v>
      </c>
      <c r="M12" s="6">
        <v>4.4</v>
      </c>
      <c r="N12" s="6">
        <v>9.9</v>
      </c>
      <c r="O12" s="5">
        <v>943100</v>
      </c>
      <c r="P12">
        <v>585</v>
      </c>
      <c r="Q12" s="9">
        <v>284</v>
      </c>
      <c r="R12">
        <v>712</v>
      </c>
      <c r="S12" s="12">
        <v>150</v>
      </c>
      <c r="T12" s="12">
        <v>542.5</v>
      </c>
    </row>
    <row r="13" spans="1:20" ht="12.75">
      <c r="A13" s="2">
        <v>39109</v>
      </c>
      <c r="B13" s="6">
        <v>12487</v>
      </c>
      <c r="C13" s="3">
        <v>5.25</v>
      </c>
      <c r="D13" s="3">
        <v>2.54</v>
      </c>
      <c r="E13" s="6">
        <v>6228</v>
      </c>
      <c r="F13" s="12">
        <v>1.961</v>
      </c>
      <c r="G13" s="7">
        <v>1.517</v>
      </c>
      <c r="H13" s="11">
        <v>645.5</v>
      </c>
      <c r="I13" s="11">
        <v>55</v>
      </c>
      <c r="J13">
        <v>5.25</v>
      </c>
      <c r="K13" s="3">
        <v>3</v>
      </c>
      <c r="L13" s="3">
        <v>7.25</v>
      </c>
      <c r="M13" s="6">
        <v>4.4</v>
      </c>
      <c r="N13" s="6">
        <v>9.9</v>
      </c>
      <c r="O13" s="5">
        <v>943100</v>
      </c>
      <c r="P13">
        <v>583.5</v>
      </c>
      <c r="Q13" s="12">
        <v>282.5</v>
      </c>
      <c r="R13">
        <v>702.5</v>
      </c>
      <c r="S13" s="12">
        <v>149</v>
      </c>
      <c r="T13" s="12">
        <v>540</v>
      </c>
    </row>
    <row r="14" spans="1:20" ht="12.75">
      <c r="A14" s="2">
        <v>39112</v>
      </c>
      <c r="B14" s="8">
        <v>12529.9</v>
      </c>
      <c r="C14" s="3">
        <v>5.25</v>
      </c>
      <c r="D14" s="3">
        <v>2.54</v>
      </c>
      <c r="E14" s="8">
        <v>6239.9</v>
      </c>
      <c r="F14" s="12">
        <v>1.959</v>
      </c>
      <c r="G14" s="7">
        <v>1.512</v>
      </c>
      <c r="H14" s="3">
        <v>644.75</v>
      </c>
      <c r="I14" s="3">
        <v>54.2</v>
      </c>
      <c r="J14">
        <v>5.25</v>
      </c>
      <c r="K14" s="3">
        <v>3</v>
      </c>
      <c r="L14" s="3">
        <v>7.25</v>
      </c>
      <c r="M14" s="6">
        <v>4.4</v>
      </c>
      <c r="N14" s="6">
        <v>9.9</v>
      </c>
      <c r="O14" s="5">
        <v>943100</v>
      </c>
      <c r="P14" s="9">
        <v>587.5</v>
      </c>
      <c r="Q14" s="9">
        <v>283.25</v>
      </c>
      <c r="R14">
        <v>698</v>
      </c>
      <c r="S14" s="12">
        <v>149</v>
      </c>
      <c r="T14" s="12">
        <v>538.5</v>
      </c>
    </row>
    <row r="15" spans="1:20" ht="12.75">
      <c r="A15" s="2">
        <v>38748</v>
      </c>
      <c r="B15" s="6">
        <v>12518</v>
      </c>
      <c r="C15" s="3">
        <v>5.25</v>
      </c>
      <c r="D15" s="3">
        <v>2.54</v>
      </c>
      <c r="E15" s="6">
        <v>6242</v>
      </c>
      <c r="F15" s="15">
        <v>1.962</v>
      </c>
      <c r="G15" s="7">
        <v>1.514</v>
      </c>
      <c r="H15" s="3">
        <v>645.2</v>
      </c>
      <c r="I15" s="3">
        <v>55.59</v>
      </c>
      <c r="J15">
        <v>5.25</v>
      </c>
      <c r="K15" s="3">
        <v>3</v>
      </c>
      <c r="L15" s="3">
        <v>7.25</v>
      </c>
      <c r="M15" s="6">
        <v>4.4</v>
      </c>
      <c r="N15" s="6">
        <v>9.9</v>
      </c>
      <c r="O15" s="5">
        <v>943100</v>
      </c>
      <c r="P15">
        <v>584.5</v>
      </c>
      <c r="Q15" s="9">
        <v>285.25</v>
      </c>
      <c r="R15">
        <v>695</v>
      </c>
      <c r="S15" s="12">
        <v>147</v>
      </c>
      <c r="T15" s="12">
        <v>537</v>
      </c>
    </row>
    <row r="16" spans="1:20" ht="12.75">
      <c r="A16" s="2">
        <v>39114</v>
      </c>
      <c r="B16" s="8">
        <v>12651.8</v>
      </c>
      <c r="C16" s="3">
        <v>5.25</v>
      </c>
      <c r="D16" s="3">
        <v>2.54</v>
      </c>
      <c r="E16" s="6">
        <v>6203.1</v>
      </c>
      <c r="F16" s="7">
        <v>1.962</v>
      </c>
      <c r="G16" s="7">
        <v>1.509</v>
      </c>
      <c r="H16" s="11">
        <v>655</v>
      </c>
      <c r="I16" s="11">
        <v>56.46</v>
      </c>
      <c r="J16">
        <v>5.25</v>
      </c>
      <c r="K16" s="3">
        <v>3</v>
      </c>
      <c r="L16" s="3">
        <v>7.25</v>
      </c>
      <c r="M16" s="6">
        <v>4.4</v>
      </c>
      <c r="N16" s="6">
        <v>9.9</v>
      </c>
      <c r="O16" s="5">
        <v>943100</v>
      </c>
      <c r="P16">
        <v>581.5</v>
      </c>
      <c r="Q16" s="12">
        <v>282.5</v>
      </c>
      <c r="R16">
        <v>686</v>
      </c>
      <c r="S16" s="9">
        <v>148</v>
      </c>
      <c r="T16" s="12">
        <v>534.5</v>
      </c>
    </row>
    <row r="17" spans="1:20" ht="12.75">
      <c r="A17" s="2">
        <v>39115</v>
      </c>
      <c r="B17" s="8">
        <v>12673.6</v>
      </c>
      <c r="C17" s="3">
        <v>5.25</v>
      </c>
      <c r="D17" s="3">
        <v>2.54</v>
      </c>
      <c r="E17" s="8">
        <v>6282.2</v>
      </c>
      <c r="F17" s="10">
        <v>1.968</v>
      </c>
      <c r="G17" s="10">
        <v>1.512</v>
      </c>
      <c r="H17" s="11">
        <v>660.2</v>
      </c>
      <c r="I17" s="11">
        <v>58.13</v>
      </c>
      <c r="J17">
        <v>5.25</v>
      </c>
      <c r="K17" s="3">
        <v>3</v>
      </c>
      <c r="L17" s="3">
        <v>7.25</v>
      </c>
      <c r="M17" s="6">
        <v>4.4</v>
      </c>
      <c r="N17" s="6">
        <v>9.9</v>
      </c>
      <c r="O17" s="5">
        <v>943100</v>
      </c>
      <c r="P17" s="9">
        <v>585.5</v>
      </c>
      <c r="Q17" s="9">
        <v>284</v>
      </c>
      <c r="R17" s="9">
        <v>691</v>
      </c>
      <c r="S17" s="9">
        <v>150.25</v>
      </c>
      <c r="T17" s="9">
        <v>538</v>
      </c>
    </row>
    <row r="18" spans="1:20" ht="12.75">
      <c r="A18" s="2">
        <v>39118</v>
      </c>
      <c r="B18" s="6">
        <v>12653.3</v>
      </c>
      <c r="C18" s="3">
        <v>5.25</v>
      </c>
      <c r="D18" s="3">
        <v>2.54</v>
      </c>
      <c r="E18" s="6">
        <v>6310.9</v>
      </c>
      <c r="F18" s="7">
        <v>1.968</v>
      </c>
      <c r="G18" s="7">
        <v>1.517</v>
      </c>
      <c r="H18" s="3">
        <v>660.2</v>
      </c>
      <c r="I18" s="3">
        <v>56.91</v>
      </c>
      <c r="J18">
        <v>5.25</v>
      </c>
      <c r="K18" s="3">
        <v>3</v>
      </c>
      <c r="L18" s="3">
        <v>7.25</v>
      </c>
      <c r="M18" s="6">
        <v>4.4</v>
      </c>
      <c r="N18" s="6">
        <v>9.9</v>
      </c>
      <c r="O18" s="5">
        <v>943100</v>
      </c>
      <c r="P18">
        <v>590</v>
      </c>
      <c r="Q18" s="9">
        <v>300.75</v>
      </c>
      <c r="R18">
        <v>705.5</v>
      </c>
      <c r="S18" s="12">
        <v>148</v>
      </c>
      <c r="T18" s="12">
        <v>535</v>
      </c>
    </row>
    <row r="19" spans="1:20" ht="12.75">
      <c r="A19" s="2">
        <v>39119</v>
      </c>
      <c r="B19" s="8">
        <v>12661.7</v>
      </c>
      <c r="C19" s="3">
        <v>5.25</v>
      </c>
      <c r="D19" s="3">
        <v>2.54</v>
      </c>
      <c r="E19" s="8">
        <v>6317.9</v>
      </c>
      <c r="F19" s="7">
        <v>1.96</v>
      </c>
      <c r="G19" s="7">
        <v>1.515</v>
      </c>
      <c r="H19" s="3">
        <v>649.4</v>
      </c>
      <c r="I19" s="11">
        <v>58.4</v>
      </c>
      <c r="J19">
        <v>5.25</v>
      </c>
      <c r="K19" s="3">
        <v>3</v>
      </c>
      <c r="L19" s="3">
        <v>7.25</v>
      </c>
      <c r="M19" s="6">
        <v>4.4</v>
      </c>
      <c r="N19" s="6">
        <v>9.9</v>
      </c>
      <c r="O19" s="5">
        <v>943100</v>
      </c>
      <c r="P19" s="9">
        <v>590.5</v>
      </c>
      <c r="Q19" s="9">
        <v>303</v>
      </c>
      <c r="R19" s="9">
        <v>713</v>
      </c>
      <c r="S19" s="9">
        <v>148.75</v>
      </c>
      <c r="T19" s="9">
        <v>541.5</v>
      </c>
    </row>
    <row r="20" spans="1:20" ht="12.75">
      <c r="A20" s="2">
        <v>39120</v>
      </c>
      <c r="B20" s="8">
        <v>12666</v>
      </c>
      <c r="C20" s="3">
        <v>5.25</v>
      </c>
      <c r="D20" s="3">
        <v>2.54</v>
      </c>
      <c r="E20" s="6">
        <v>6246.3</v>
      </c>
      <c r="F20" s="10">
        <v>1.969</v>
      </c>
      <c r="G20" s="10">
        <v>1.519</v>
      </c>
      <c r="H20" s="11">
        <v>653.25</v>
      </c>
      <c r="I20" s="11">
        <v>58.6</v>
      </c>
      <c r="J20">
        <v>5.25</v>
      </c>
      <c r="K20" s="3">
        <v>3</v>
      </c>
      <c r="L20" s="3">
        <v>7.25</v>
      </c>
      <c r="M20" s="6">
        <v>4.4</v>
      </c>
      <c r="N20" s="6">
        <v>9.9</v>
      </c>
      <c r="O20" s="5">
        <v>943100</v>
      </c>
      <c r="P20" s="9">
        <v>598.5</v>
      </c>
      <c r="Q20" s="9">
        <v>311</v>
      </c>
      <c r="R20" s="9">
        <v>721.5</v>
      </c>
      <c r="S20" s="9">
        <v>149</v>
      </c>
      <c r="T20" s="12">
        <v>535</v>
      </c>
    </row>
    <row r="21" spans="1:20" ht="12.75">
      <c r="A21" s="2">
        <v>39121</v>
      </c>
      <c r="B21" s="8">
        <v>12666.87</v>
      </c>
      <c r="C21" s="3">
        <v>5.25</v>
      </c>
      <c r="D21" s="3">
        <v>2.54</v>
      </c>
      <c r="E21" s="8">
        <v>6369.5</v>
      </c>
      <c r="F21" s="10">
        <v>1.97</v>
      </c>
      <c r="G21" s="7">
        <v>1.513</v>
      </c>
      <c r="H21" s="11">
        <v>653.75</v>
      </c>
      <c r="I21" s="3">
        <v>58.51</v>
      </c>
      <c r="J21">
        <v>5.25</v>
      </c>
      <c r="K21" s="3">
        <v>3</v>
      </c>
      <c r="L21" s="3">
        <v>7.25</v>
      </c>
      <c r="M21" s="6">
        <v>4.4</v>
      </c>
      <c r="N21" s="6">
        <v>9.9</v>
      </c>
      <c r="O21" s="5">
        <v>943100</v>
      </c>
      <c r="P21" s="12">
        <v>598.5</v>
      </c>
      <c r="Q21" s="12">
        <v>308.75</v>
      </c>
      <c r="R21" s="12">
        <v>719.5</v>
      </c>
      <c r="S21" s="9">
        <v>150.75</v>
      </c>
      <c r="T21" s="9">
        <v>538.5</v>
      </c>
    </row>
    <row r="22" spans="1:20" ht="12.75">
      <c r="A22" s="2">
        <v>39122</v>
      </c>
      <c r="B22" s="6">
        <v>12616</v>
      </c>
      <c r="C22" s="3">
        <v>5.25</v>
      </c>
      <c r="D22" s="3">
        <v>2.54</v>
      </c>
      <c r="E22" s="6">
        <v>6346.4</v>
      </c>
      <c r="F22" s="7">
        <v>1.958</v>
      </c>
      <c r="G22" s="7">
        <v>1.503</v>
      </c>
      <c r="H22" s="3">
        <v>653.75</v>
      </c>
      <c r="I22" s="3">
        <v>57.31</v>
      </c>
      <c r="J22">
        <v>5.25</v>
      </c>
      <c r="K22" s="3">
        <v>3</v>
      </c>
      <c r="L22" s="3">
        <v>7.25</v>
      </c>
      <c r="M22" s="6">
        <v>4.4</v>
      </c>
      <c r="N22" s="6">
        <v>9.9</v>
      </c>
      <c r="O22" s="5">
        <v>943100</v>
      </c>
      <c r="P22" s="9">
        <v>600</v>
      </c>
      <c r="Q22" s="12">
        <v>301.5</v>
      </c>
      <c r="R22" s="12">
        <v>715</v>
      </c>
      <c r="S22" s="12">
        <v>150.5</v>
      </c>
      <c r="T22" s="12">
        <v>535</v>
      </c>
    </row>
    <row r="23" spans="1:20" ht="12.75">
      <c r="A23" s="2">
        <v>39123</v>
      </c>
      <c r="B23" s="8">
        <v>12641.2</v>
      </c>
      <c r="C23" s="3">
        <v>5.25</v>
      </c>
      <c r="D23" s="3">
        <v>2.54</v>
      </c>
      <c r="E23" s="8">
        <v>6382.8</v>
      </c>
      <c r="F23" s="7">
        <v>1.95</v>
      </c>
      <c r="G23" s="7">
        <v>1.5</v>
      </c>
      <c r="H23" s="11">
        <v>664.5</v>
      </c>
      <c r="I23" s="11">
        <v>58.96</v>
      </c>
      <c r="J23">
        <v>5.25</v>
      </c>
      <c r="K23" s="3">
        <v>3</v>
      </c>
      <c r="L23" s="3">
        <v>7.25</v>
      </c>
      <c r="M23" s="6">
        <v>4.4</v>
      </c>
      <c r="N23" s="6">
        <v>9.9</v>
      </c>
      <c r="O23" s="5">
        <v>943100</v>
      </c>
      <c r="P23" s="9">
        <v>606</v>
      </c>
      <c r="Q23" s="12">
        <v>300.75</v>
      </c>
      <c r="R23" s="9">
        <v>719</v>
      </c>
      <c r="S23" s="12">
        <v>149.25</v>
      </c>
      <c r="T23" s="9">
        <v>538</v>
      </c>
    </row>
    <row r="24" spans="1:20" ht="12.75">
      <c r="A24" s="2">
        <v>39126</v>
      </c>
      <c r="B24" s="6">
        <v>12552.5</v>
      </c>
      <c r="C24" s="3">
        <v>5.25</v>
      </c>
      <c r="D24" s="3">
        <v>2.54</v>
      </c>
      <c r="E24" s="6">
        <v>6353.5</v>
      </c>
      <c r="F24" s="7">
        <v>1.947</v>
      </c>
      <c r="G24" s="7">
        <v>1.502</v>
      </c>
      <c r="H24" s="11">
        <v>664.55</v>
      </c>
      <c r="I24" s="3">
        <v>56.94</v>
      </c>
      <c r="J24">
        <v>5.25</v>
      </c>
      <c r="K24" s="3">
        <v>3</v>
      </c>
      <c r="L24" s="3">
        <v>7.25</v>
      </c>
      <c r="M24" s="6">
        <v>4.4</v>
      </c>
      <c r="N24" s="6">
        <v>9.9</v>
      </c>
      <c r="O24" s="5">
        <v>943100</v>
      </c>
      <c r="P24" s="12">
        <v>602.5</v>
      </c>
      <c r="Q24" s="12">
        <v>300.25</v>
      </c>
      <c r="R24" s="12">
        <v>712</v>
      </c>
      <c r="S24" s="9">
        <v>151.25</v>
      </c>
      <c r="T24" s="12">
        <v>532</v>
      </c>
    </row>
    <row r="25" spans="1:20" ht="12.75">
      <c r="A25" s="2">
        <v>39127</v>
      </c>
      <c r="B25" s="8">
        <v>1265.9</v>
      </c>
      <c r="C25" s="3">
        <v>5.25</v>
      </c>
      <c r="D25" s="3">
        <v>2.54</v>
      </c>
      <c r="E25" s="8">
        <v>6381.8</v>
      </c>
      <c r="F25" s="15">
        <v>1.946</v>
      </c>
      <c r="G25" s="7">
        <v>1.494</v>
      </c>
      <c r="H25" s="11">
        <v>667.8</v>
      </c>
      <c r="I25" s="3">
        <v>56.8</v>
      </c>
      <c r="J25">
        <v>5.25</v>
      </c>
      <c r="K25" s="3">
        <v>3</v>
      </c>
      <c r="L25" s="3">
        <v>7.25</v>
      </c>
      <c r="M25" s="16">
        <v>4.2</v>
      </c>
      <c r="N25" s="6">
        <v>9.9</v>
      </c>
      <c r="O25" s="5">
        <v>943100</v>
      </c>
      <c r="P25" s="12">
        <v>602.5</v>
      </c>
      <c r="Q25" s="9">
        <v>302.75</v>
      </c>
      <c r="R25" s="9">
        <v>714</v>
      </c>
      <c r="S25" s="12">
        <v>150</v>
      </c>
      <c r="T25" s="9">
        <v>534.5</v>
      </c>
    </row>
    <row r="26" spans="1:20" ht="12.75">
      <c r="A26" s="2">
        <v>39128</v>
      </c>
      <c r="B26" s="6">
        <v>12741.9</v>
      </c>
      <c r="C26" s="3">
        <v>5.25</v>
      </c>
      <c r="D26" s="3">
        <v>2.54</v>
      </c>
      <c r="E26" s="6">
        <v>6421.2</v>
      </c>
      <c r="F26" s="7">
        <v>1.963</v>
      </c>
      <c r="G26" s="7">
        <v>1.495</v>
      </c>
      <c r="H26" s="3">
        <v>668.25</v>
      </c>
      <c r="I26" s="3">
        <v>57.07</v>
      </c>
      <c r="J26">
        <v>5.25</v>
      </c>
      <c r="K26" s="3">
        <v>3</v>
      </c>
      <c r="L26" s="3">
        <v>7.25</v>
      </c>
      <c r="M26" s="6">
        <v>4.2</v>
      </c>
      <c r="N26" s="6">
        <v>9.9</v>
      </c>
      <c r="O26" s="13">
        <v>925800</v>
      </c>
      <c r="P26" s="12">
        <v>607</v>
      </c>
      <c r="Q26" s="12">
        <v>304.25</v>
      </c>
      <c r="R26" s="12">
        <v>717</v>
      </c>
      <c r="S26" s="12">
        <v>150.5</v>
      </c>
      <c r="T26" s="12">
        <v>534</v>
      </c>
    </row>
    <row r="27" spans="1:20" ht="12.75">
      <c r="A27" s="2">
        <v>39129</v>
      </c>
      <c r="B27" s="8">
        <v>12766.4</v>
      </c>
      <c r="C27" s="3">
        <v>5.25</v>
      </c>
      <c r="D27" s="3">
        <v>2.54</v>
      </c>
      <c r="E27" s="8">
        <v>6433.3</v>
      </c>
      <c r="F27" s="7">
        <v>1.953</v>
      </c>
      <c r="G27" s="7">
        <v>1.486</v>
      </c>
      <c r="H27" s="3">
        <v>664.75</v>
      </c>
      <c r="I27" s="3">
        <v>56.69</v>
      </c>
      <c r="J27">
        <v>5.25</v>
      </c>
      <c r="K27" s="3">
        <v>3</v>
      </c>
      <c r="L27" s="3">
        <v>7.25</v>
      </c>
      <c r="M27" s="6">
        <v>4.2</v>
      </c>
      <c r="N27" s="6">
        <v>9.9</v>
      </c>
      <c r="O27" s="5">
        <v>925800</v>
      </c>
      <c r="P27" s="9">
        <v>607.5</v>
      </c>
      <c r="Q27" s="12">
        <v>301.5</v>
      </c>
      <c r="R27" s="9">
        <v>718.5</v>
      </c>
      <c r="S27" s="12">
        <v>149.75</v>
      </c>
      <c r="T27" s="9">
        <v>537</v>
      </c>
    </row>
    <row r="28" spans="1:20" ht="12.75">
      <c r="A28" s="2">
        <v>39130</v>
      </c>
      <c r="B28" s="8">
        <v>12767.6</v>
      </c>
      <c r="C28" s="3">
        <v>5.25</v>
      </c>
      <c r="D28" s="3">
        <v>2.54</v>
      </c>
      <c r="E28" s="6">
        <v>6419.5</v>
      </c>
      <c r="F28" s="7">
        <v>1.95</v>
      </c>
      <c r="G28" s="7">
        <v>1.485</v>
      </c>
      <c r="H28" s="11">
        <v>665.1</v>
      </c>
      <c r="I28" s="11">
        <v>58.7</v>
      </c>
      <c r="J28">
        <v>5.25</v>
      </c>
      <c r="K28" s="17">
        <v>2.7</v>
      </c>
      <c r="L28" s="3">
        <v>7.25</v>
      </c>
      <c r="M28" s="6">
        <v>4.2</v>
      </c>
      <c r="N28" s="6">
        <v>9.9</v>
      </c>
      <c r="O28" s="5">
        <v>925800</v>
      </c>
      <c r="P28">
        <v>605.5</v>
      </c>
      <c r="Q28" s="9">
        <v>302.25</v>
      </c>
      <c r="R28" s="9">
        <v>719</v>
      </c>
      <c r="S28" s="12">
        <v>149.25</v>
      </c>
      <c r="T28" s="12">
        <v>535</v>
      </c>
    </row>
    <row r="29" spans="1:20" ht="12.75">
      <c r="A29" s="2">
        <v>39133</v>
      </c>
      <c r="B29" s="14">
        <v>12767.6</v>
      </c>
      <c r="C29" s="3">
        <v>5.25</v>
      </c>
      <c r="D29" s="3">
        <v>2.54</v>
      </c>
      <c r="E29" s="8">
        <v>6444.4</v>
      </c>
      <c r="F29" s="10">
        <v>1.953</v>
      </c>
      <c r="G29" s="7">
        <v>1.485</v>
      </c>
      <c r="H29" s="11">
        <v>670.75</v>
      </c>
      <c r="I29" s="3">
        <v>58.35</v>
      </c>
      <c r="J29">
        <v>5.25</v>
      </c>
      <c r="K29" s="3">
        <v>2.7</v>
      </c>
      <c r="L29" s="3">
        <v>7.25</v>
      </c>
      <c r="M29" s="6">
        <v>4.2</v>
      </c>
      <c r="N29" s="6">
        <v>9.9</v>
      </c>
      <c r="O29" s="5">
        <v>925800</v>
      </c>
      <c r="P29" s="9">
        <v>606.5</v>
      </c>
      <c r="Q29" s="9">
        <v>305.5</v>
      </c>
      <c r="R29" s="9">
        <v>725</v>
      </c>
      <c r="S29" s="9">
        <v>150.75</v>
      </c>
      <c r="T29" s="12">
        <v>534.5</v>
      </c>
    </row>
    <row r="30" spans="1:20" ht="12.75">
      <c r="A30" s="2">
        <v>39134</v>
      </c>
      <c r="B30" s="8">
        <v>12768.7</v>
      </c>
      <c r="C30" s="3">
        <v>5.25</v>
      </c>
      <c r="D30" s="3">
        <v>2.54</v>
      </c>
      <c r="E30" s="6">
        <v>6412.3</v>
      </c>
      <c r="F30" s="10">
        <v>1.955</v>
      </c>
      <c r="G30" s="10">
        <v>1.488</v>
      </c>
      <c r="H30" s="3">
        <v>663.9</v>
      </c>
      <c r="I30" s="3">
        <v>57.46</v>
      </c>
      <c r="J30">
        <v>5.25</v>
      </c>
      <c r="K30" s="3">
        <v>2.7</v>
      </c>
      <c r="L30" s="3">
        <v>7.25</v>
      </c>
      <c r="M30" s="6">
        <v>4.2</v>
      </c>
      <c r="N30" s="6">
        <v>9.9</v>
      </c>
      <c r="O30" s="5">
        <v>925800</v>
      </c>
      <c r="P30" s="9">
        <v>614</v>
      </c>
      <c r="Q30" s="9">
        <v>306</v>
      </c>
      <c r="R30" s="12">
        <v>714</v>
      </c>
      <c r="S30" s="12">
        <v>150.5</v>
      </c>
      <c r="T30" s="12">
        <v>531</v>
      </c>
    </row>
    <row r="31" spans="1:20" ht="12.75">
      <c r="A31" s="2">
        <v>39135</v>
      </c>
      <c r="B31" s="6">
        <v>12738.4</v>
      </c>
      <c r="C31" s="3">
        <v>5.25</v>
      </c>
      <c r="D31" s="17">
        <v>2.08</v>
      </c>
      <c r="E31" s="6">
        <v>6357.1</v>
      </c>
      <c r="F31" s="7">
        <v>1.951</v>
      </c>
      <c r="G31" s="7">
        <v>1.487</v>
      </c>
      <c r="H31" s="3">
        <v>663.9</v>
      </c>
      <c r="I31" s="11">
        <v>58.78</v>
      </c>
      <c r="J31">
        <v>5.25</v>
      </c>
      <c r="K31" s="3">
        <v>2.7</v>
      </c>
      <c r="L31" s="3">
        <v>7.25</v>
      </c>
      <c r="M31" s="6">
        <v>4.2</v>
      </c>
      <c r="N31" s="6">
        <v>9.9</v>
      </c>
      <c r="O31" s="5">
        <v>925800</v>
      </c>
      <c r="P31" s="12">
        <v>613</v>
      </c>
      <c r="Q31" s="12">
        <v>301.75</v>
      </c>
      <c r="R31" s="12">
        <v>707</v>
      </c>
      <c r="S31" s="12">
        <v>147</v>
      </c>
      <c r="T31" s="12">
        <v>521.5</v>
      </c>
    </row>
    <row r="32" spans="1:20" ht="12.75">
      <c r="A32" s="2">
        <v>39136</v>
      </c>
      <c r="B32" s="6">
        <v>12674.6</v>
      </c>
      <c r="C32" s="3">
        <v>5.25</v>
      </c>
      <c r="D32" s="3">
        <v>2.08</v>
      </c>
      <c r="E32" s="8">
        <v>6380.9</v>
      </c>
      <c r="F32" s="10">
        <v>1.96</v>
      </c>
      <c r="G32" s="7">
        <v>1.492</v>
      </c>
      <c r="H32" s="11">
        <v>676.6</v>
      </c>
      <c r="I32" s="11">
        <v>60.47</v>
      </c>
      <c r="J32">
        <v>5.25</v>
      </c>
      <c r="K32" s="3">
        <v>2.7</v>
      </c>
      <c r="L32" s="3">
        <v>7.25</v>
      </c>
      <c r="M32" s="6">
        <v>4.2</v>
      </c>
      <c r="N32" s="6">
        <v>9.9</v>
      </c>
      <c r="O32" s="5">
        <v>925800</v>
      </c>
      <c r="P32" s="9">
        <v>613</v>
      </c>
      <c r="Q32" s="12">
        <v>300.75</v>
      </c>
      <c r="R32" s="12">
        <v>704.5</v>
      </c>
      <c r="S32" s="12">
        <v>146.25</v>
      </c>
      <c r="T32" s="12">
        <v>521</v>
      </c>
    </row>
    <row r="33" spans="1:20" ht="12.75">
      <c r="A33" s="2">
        <v>39137</v>
      </c>
      <c r="B33" s="6">
        <v>12655.5</v>
      </c>
      <c r="C33" s="3">
        <v>5.25</v>
      </c>
      <c r="D33" s="3">
        <v>2.08</v>
      </c>
      <c r="E33" s="6">
        <v>6401.5</v>
      </c>
      <c r="F33" s="10">
        <v>1.964</v>
      </c>
      <c r="G33" s="7">
        <v>1.492</v>
      </c>
      <c r="H33" s="11">
        <v>683</v>
      </c>
      <c r="I33" s="11">
        <v>61.04</v>
      </c>
      <c r="J33">
        <v>5.25</v>
      </c>
      <c r="K33" s="3">
        <v>2.7</v>
      </c>
      <c r="L33" s="3">
        <v>7.25</v>
      </c>
      <c r="M33" s="6">
        <v>4.2</v>
      </c>
      <c r="N33" s="6">
        <v>9.9</v>
      </c>
      <c r="O33" s="5">
        <v>925800</v>
      </c>
      <c r="P33" s="12">
        <v>592</v>
      </c>
      <c r="Q33" s="9">
        <v>305</v>
      </c>
      <c r="R33" s="12">
        <v>700</v>
      </c>
      <c r="S33" s="12">
        <v>146</v>
      </c>
      <c r="T33" s="9">
        <v>535</v>
      </c>
    </row>
    <row r="34" spans="1:20" ht="12.75">
      <c r="A34" s="2">
        <v>39140</v>
      </c>
      <c r="B34" s="6">
        <v>12630.2</v>
      </c>
      <c r="C34" s="3">
        <v>5.25</v>
      </c>
      <c r="D34" s="3">
        <v>2.08</v>
      </c>
      <c r="E34" s="6">
        <v>6434.7</v>
      </c>
      <c r="F34" s="7">
        <v>1.963</v>
      </c>
      <c r="G34" s="7">
        <v>1.492</v>
      </c>
      <c r="H34" s="11">
        <v>685.75</v>
      </c>
      <c r="I34" s="18">
        <v>60.95</v>
      </c>
      <c r="J34">
        <v>5.25</v>
      </c>
      <c r="K34" s="3">
        <v>2.7</v>
      </c>
      <c r="L34" s="3">
        <v>7.25</v>
      </c>
      <c r="M34" s="6">
        <v>4.2</v>
      </c>
      <c r="N34" s="6">
        <v>9.9</v>
      </c>
      <c r="O34" s="5">
        <v>925800</v>
      </c>
      <c r="P34" s="12">
        <v>591.5</v>
      </c>
      <c r="Q34" s="9">
        <v>307.75</v>
      </c>
      <c r="R34" s="9">
        <v>704.5</v>
      </c>
      <c r="S34" s="9">
        <v>147.25</v>
      </c>
      <c r="T34" s="9">
        <v>545</v>
      </c>
    </row>
    <row r="35" spans="1:20" ht="12.75">
      <c r="A35" s="2">
        <v>39141</v>
      </c>
      <c r="B35" s="6">
        <v>12086</v>
      </c>
      <c r="C35" s="3">
        <v>5.25</v>
      </c>
      <c r="D35" s="3">
        <v>2.08</v>
      </c>
      <c r="E35" s="6">
        <v>6286.1</v>
      </c>
      <c r="F35" s="10">
        <v>1.966</v>
      </c>
      <c r="G35" s="7">
        <v>1.484</v>
      </c>
      <c r="H35" s="3">
        <v>676.2</v>
      </c>
      <c r="I35" s="11">
        <v>61.77</v>
      </c>
      <c r="J35">
        <v>5.25</v>
      </c>
      <c r="K35" s="3">
        <v>2.7</v>
      </c>
      <c r="L35" s="3">
        <v>7.25</v>
      </c>
      <c r="M35" s="6">
        <v>4.2</v>
      </c>
      <c r="N35" s="6">
        <v>9.9</v>
      </c>
      <c r="O35" s="5">
        <v>925800</v>
      </c>
      <c r="P35" s="12">
        <v>585</v>
      </c>
      <c r="Q35" s="12">
        <v>300.25</v>
      </c>
      <c r="R35" s="12">
        <v>684</v>
      </c>
      <c r="S35" s="12">
        <v>143.5</v>
      </c>
      <c r="T35" s="12">
        <v>535</v>
      </c>
    </row>
    <row r="36" spans="1:20" ht="12.75">
      <c r="A36" s="2">
        <v>39142</v>
      </c>
      <c r="B36" s="8">
        <v>12302</v>
      </c>
      <c r="C36" s="3">
        <v>5.25</v>
      </c>
      <c r="D36" s="3">
        <v>2.08</v>
      </c>
      <c r="E36" s="6">
        <v>6171.5</v>
      </c>
      <c r="F36" s="7">
        <v>1.962</v>
      </c>
      <c r="G36" s="7">
        <v>1.483</v>
      </c>
      <c r="H36" s="3">
        <v>664.2</v>
      </c>
      <c r="I36" s="18">
        <v>61.29</v>
      </c>
      <c r="J36">
        <v>5.25</v>
      </c>
      <c r="K36" s="3">
        <v>2.7</v>
      </c>
      <c r="L36" s="3">
        <v>7.25</v>
      </c>
      <c r="M36" s="6">
        <v>4.2</v>
      </c>
      <c r="N36" s="6">
        <v>9.9</v>
      </c>
      <c r="O36" s="5">
        <v>925800</v>
      </c>
      <c r="P36" s="12">
        <v>574</v>
      </c>
      <c r="Q36" s="12">
        <v>297</v>
      </c>
      <c r="R36" s="12">
        <v>673.5</v>
      </c>
      <c r="S36" s="12">
        <v>141.5</v>
      </c>
      <c r="T36" s="12">
        <v>522</v>
      </c>
    </row>
    <row r="37" spans="1:20" ht="12.75">
      <c r="A37" s="2">
        <v>39143</v>
      </c>
      <c r="B37" s="6">
        <v>12234.3</v>
      </c>
      <c r="C37" s="3">
        <v>5.25</v>
      </c>
      <c r="D37" s="3">
        <v>2.08</v>
      </c>
      <c r="E37" s="6">
        <v>6116</v>
      </c>
      <c r="F37" s="7">
        <v>1.959</v>
      </c>
      <c r="G37" s="10">
        <v>1.486</v>
      </c>
      <c r="H37" s="3">
        <v>664.2</v>
      </c>
      <c r="I37" s="18">
        <v>62.19</v>
      </c>
      <c r="J37">
        <v>5.25</v>
      </c>
      <c r="K37" s="3">
        <v>2.7</v>
      </c>
      <c r="L37" s="3">
        <v>7.25</v>
      </c>
      <c r="M37" s="6">
        <v>4.2</v>
      </c>
      <c r="N37" s="6">
        <v>9.9</v>
      </c>
      <c r="O37" s="5">
        <v>925800</v>
      </c>
      <c r="P37" s="12">
        <v>567</v>
      </c>
      <c r="Q37" s="12">
        <v>295</v>
      </c>
      <c r="R37" s="12">
        <v>658.5</v>
      </c>
      <c r="S37" s="12">
        <v>139</v>
      </c>
      <c r="T37" s="12">
        <v>517.5</v>
      </c>
    </row>
    <row r="38" spans="1:20" ht="12.75">
      <c r="A38" s="2">
        <v>39144</v>
      </c>
      <c r="B38" s="6">
        <v>12114.1</v>
      </c>
      <c r="C38" s="3">
        <v>5.25</v>
      </c>
      <c r="D38" s="3">
        <v>2.08</v>
      </c>
      <c r="E38" s="8">
        <v>6116.2</v>
      </c>
      <c r="F38" s="7">
        <v>1.946</v>
      </c>
      <c r="G38" s="7">
        <v>1.475</v>
      </c>
      <c r="H38" s="3">
        <v>651.9</v>
      </c>
      <c r="I38" s="18">
        <v>61.98</v>
      </c>
      <c r="J38">
        <v>5.25</v>
      </c>
      <c r="K38" s="3">
        <v>2.7</v>
      </c>
      <c r="L38" s="3">
        <v>7.25</v>
      </c>
      <c r="M38" s="6">
        <v>4.2</v>
      </c>
      <c r="N38" s="6">
        <v>9.9</v>
      </c>
      <c r="O38" s="5">
        <v>925800</v>
      </c>
      <c r="P38" s="12">
        <v>565</v>
      </c>
      <c r="Q38" s="9">
        <v>298.25</v>
      </c>
      <c r="R38" s="12">
        <v>655.5</v>
      </c>
      <c r="S38" s="12">
        <v>138.5</v>
      </c>
      <c r="T38" s="12">
        <v>516.6</v>
      </c>
    </row>
    <row r="39" spans="1:20" ht="12.75">
      <c r="A39" s="2">
        <v>39147</v>
      </c>
      <c r="B39" s="6">
        <v>12050.4</v>
      </c>
      <c r="C39" s="3">
        <v>5.25</v>
      </c>
      <c r="D39" s="3">
        <v>2.08</v>
      </c>
      <c r="E39" s="6">
        <v>6058.7</v>
      </c>
      <c r="F39" s="7">
        <v>1.923</v>
      </c>
      <c r="G39" s="7">
        <v>1.469</v>
      </c>
      <c r="H39" s="3">
        <v>636.75</v>
      </c>
      <c r="I39" s="18">
        <v>61.12</v>
      </c>
      <c r="J39">
        <v>5.25</v>
      </c>
      <c r="K39" s="3">
        <v>2.7</v>
      </c>
      <c r="L39" s="3">
        <v>7.25</v>
      </c>
      <c r="M39" s="6">
        <v>4.2</v>
      </c>
      <c r="N39" s="6">
        <v>9.9</v>
      </c>
      <c r="O39" s="5">
        <v>925800</v>
      </c>
      <c r="P39" s="12">
        <v>562.5</v>
      </c>
      <c r="Q39" s="9">
        <v>295.25</v>
      </c>
      <c r="R39" s="12">
        <v>642.5</v>
      </c>
      <c r="S39" s="12">
        <v>136.75</v>
      </c>
      <c r="T39" s="12">
        <v>511</v>
      </c>
    </row>
    <row r="40" spans="1:20" ht="12.75">
      <c r="A40" s="2">
        <v>39148</v>
      </c>
      <c r="B40" s="8">
        <v>12156.7</v>
      </c>
      <c r="C40" s="3">
        <v>5.25</v>
      </c>
      <c r="D40" s="3">
        <v>2.08</v>
      </c>
      <c r="E40" s="8">
        <v>6138.5</v>
      </c>
      <c r="F40" s="10">
        <v>1.928</v>
      </c>
      <c r="G40" s="10">
        <v>1.47</v>
      </c>
      <c r="H40" s="3">
        <v>636.75</v>
      </c>
      <c r="I40" s="18">
        <v>61.11</v>
      </c>
      <c r="J40">
        <v>5.25</v>
      </c>
      <c r="K40" s="3">
        <v>2.7</v>
      </c>
      <c r="L40" s="3">
        <v>7.25</v>
      </c>
      <c r="M40" s="6">
        <v>4.2</v>
      </c>
      <c r="N40" s="6">
        <v>9.9</v>
      </c>
      <c r="O40" s="5">
        <v>925800</v>
      </c>
      <c r="P40" s="9">
        <v>563.5</v>
      </c>
      <c r="Q40" s="9">
        <v>299.75</v>
      </c>
      <c r="R40" s="9">
        <v>654</v>
      </c>
      <c r="S40" s="9">
        <v>137</v>
      </c>
      <c r="T40" s="9">
        <v>512</v>
      </c>
    </row>
    <row r="41" spans="1:20" ht="12.75">
      <c r="A41" s="2">
        <v>39149</v>
      </c>
      <c r="B41" s="8">
        <v>12192.4</v>
      </c>
      <c r="C41" s="3">
        <v>5.25</v>
      </c>
      <c r="D41" s="3">
        <v>2.08</v>
      </c>
      <c r="E41" s="8">
        <v>6156.5</v>
      </c>
      <c r="F41" s="10">
        <v>1.93</v>
      </c>
      <c r="G41" s="7">
        <v>1.468</v>
      </c>
      <c r="H41" s="11">
        <v>646.4</v>
      </c>
      <c r="I41" s="11">
        <v>62.47</v>
      </c>
      <c r="J41">
        <v>5.25</v>
      </c>
      <c r="K41" s="3">
        <v>2.7</v>
      </c>
      <c r="L41" s="3">
        <v>7.25</v>
      </c>
      <c r="M41" s="6">
        <v>4.2</v>
      </c>
      <c r="N41" s="6">
        <v>9.9</v>
      </c>
      <c r="O41" s="5">
        <v>925800</v>
      </c>
      <c r="P41" s="12">
        <v>539</v>
      </c>
      <c r="Q41" s="9">
        <v>304.75</v>
      </c>
      <c r="R41" s="9">
        <v>661.5</v>
      </c>
      <c r="S41" s="9">
        <v>137.75</v>
      </c>
      <c r="T41" s="9">
        <v>517</v>
      </c>
    </row>
    <row r="42" spans="1:20" ht="12.75">
      <c r="A42" s="2">
        <v>39150</v>
      </c>
      <c r="B42" s="8">
        <v>12260.7</v>
      </c>
      <c r="C42" s="3">
        <v>5.25</v>
      </c>
      <c r="D42" s="3">
        <v>2.08</v>
      </c>
      <c r="E42" s="8">
        <v>6227.7</v>
      </c>
      <c r="F42" s="7">
        <v>1.929</v>
      </c>
      <c r="G42" s="10">
        <v>1.469</v>
      </c>
      <c r="H42" s="11">
        <v>654.25</v>
      </c>
      <c r="I42" s="18">
        <v>62.04</v>
      </c>
      <c r="J42">
        <v>5.25</v>
      </c>
      <c r="K42" s="3">
        <v>2.7</v>
      </c>
      <c r="L42" s="3">
        <v>7.25</v>
      </c>
      <c r="M42" s="6">
        <v>4.2</v>
      </c>
      <c r="N42" s="6">
        <v>9.9</v>
      </c>
      <c r="O42" s="5">
        <v>925800</v>
      </c>
      <c r="P42" s="12">
        <v>552</v>
      </c>
      <c r="Q42" s="9">
        <v>307.5</v>
      </c>
      <c r="R42" s="9">
        <v>670.5</v>
      </c>
      <c r="S42" s="9">
        <v>139.75</v>
      </c>
      <c r="T42" s="9">
        <v>525</v>
      </c>
    </row>
    <row r="43" spans="1:20" ht="12.75">
      <c r="A43" s="2">
        <v>39151</v>
      </c>
      <c r="B43" s="8">
        <v>12276.3</v>
      </c>
      <c r="C43" s="3">
        <v>5.25</v>
      </c>
      <c r="D43" s="3">
        <v>2.08</v>
      </c>
      <c r="E43" s="8">
        <v>6245.2</v>
      </c>
      <c r="F43" s="10">
        <v>1.933</v>
      </c>
      <c r="G43" s="10">
        <v>1.474</v>
      </c>
      <c r="H43" s="3">
        <v>652.25</v>
      </c>
      <c r="I43" s="18">
        <v>61.8</v>
      </c>
      <c r="J43">
        <v>5.25</v>
      </c>
      <c r="K43" s="3">
        <v>2.7</v>
      </c>
      <c r="L43" s="3">
        <v>7.25</v>
      </c>
      <c r="M43" s="6">
        <v>4.2</v>
      </c>
      <c r="N43" s="6">
        <v>9.9</v>
      </c>
      <c r="O43" s="5">
        <v>925800</v>
      </c>
      <c r="P43" s="9">
        <v>552.5</v>
      </c>
      <c r="Q43" s="9">
        <v>320.5</v>
      </c>
      <c r="R43" s="9">
        <v>683</v>
      </c>
      <c r="S43" s="12">
        <v>139.5</v>
      </c>
      <c r="T43" s="12">
        <v>525</v>
      </c>
    </row>
    <row r="44" spans="1:20" ht="12.75">
      <c r="A44" s="2">
        <v>39154</v>
      </c>
      <c r="B44" s="8">
        <v>12318.6</v>
      </c>
      <c r="C44" s="3">
        <v>5.25</v>
      </c>
      <c r="D44" s="3">
        <v>2.08</v>
      </c>
      <c r="E44" s="6">
        <v>6233.3</v>
      </c>
      <c r="F44" s="7">
        <v>1.931</v>
      </c>
      <c r="G44" s="7">
        <v>1.465</v>
      </c>
      <c r="H44" s="3">
        <v>647.75</v>
      </c>
      <c r="I44" s="18">
        <v>60.76</v>
      </c>
      <c r="J44">
        <v>5.25</v>
      </c>
      <c r="K44" s="3">
        <v>2.7</v>
      </c>
      <c r="L44" s="3">
        <v>7.25</v>
      </c>
      <c r="M44" s="6">
        <v>4.2</v>
      </c>
      <c r="N44" s="6">
        <v>9.9</v>
      </c>
      <c r="O44" s="5">
        <v>925800</v>
      </c>
      <c r="P44" s="12">
        <v>548.5</v>
      </c>
      <c r="Q44" s="12">
        <v>314</v>
      </c>
      <c r="R44" s="12">
        <v>673.5</v>
      </c>
      <c r="S44" s="12">
        <v>139</v>
      </c>
      <c r="T44" s="9">
        <v>526</v>
      </c>
    </row>
    <row r="45" spans="1:20" ht="12.75">
      <c r="A45" s="2">
        <v>39155</v>
      </c>
      <c r="B45" s="6">
        <v>12128.4</v>
      </c>
      <c r="C45" s="3">
        <v>5.25</v>
      </c>
      <c r="D45" s="3">
        <v>2.08</v>
      </c>
      <c r="E45" s="6">
        <v>6161.2</v>
      </c>
      <c r="F45" s="10">
        <v>1.932</v>
      </c>
      <c r="G45" s="7">
        <v>1.462</v>
      </c>
      <c r="H45" s="3">
        <v>647.75</v>
      </c>
      <c r="I45" s="11">
        <v>61.77</v>
      </c>
      <c r="J45">
        <v>5.25</v>
      </c>
      <c r="K45" s="3">
        <v>2.7</v>
      </c>
      <c r="L45" s="3">
        <v>7.25</v>
      </c>
      <c r="M45" s="6">
        <v>4.2</v>
      </c>
      <c r="N45" s="6">
        <v>9.9</v>
      </c>
      <c r="O45" s="5">
        <v>925800</v>
      </c>
      <c r="P45" s="12">
        <v>540</v>
      </c>
      <c r="Q45" s="12">
        <v>309.25</v>
      </c>
      <c r="R45" s="12">
        <v>669.5</v>
      </c>
      <c r="S45" s="12">
        <v>138</v>
      </c>
      <c r="T45" s="12">
        <v>521.5</v>
      </c>
    </row>
    <row r="46" spans="1:20" ht="12.75">
      <c r="A46" s="2">
        <v>39156</v>
      </c>
      <c r="B46" s="8">
        <v>12133.4</v>
      </c>
      <c r="C46" s="3">
        <v>5.25</v>
      </c>
      <c r="D46" s="3">
        <v>2.08</v>
      </c>
      <c r="E46" s="6">
        <v>6000.7</v>
      </c>
      <c r="F46" s="10">
        <v>1.934</v>
      </c>
      <c r="G46" s="10">
        <v>1.463</v>
      </c>
      <c r="H46" s="3">
        <v>647.75</v>
      </c>
      <c r="I46" s="18">
        <v>61.06</v>
      </c>
      <c r="J46">
        <v>5.25</v>
      </c>
      <c r="K46" s="3">
        <v>2.7</v>
      </c>
      <c r="L46" s="3">
        <v>7.25</v>
      </c>
      <c r="M46" s="6">
        <v>4.2</v>
      </c>
      <c r="N46" s="6">
        <v>9.9</v>
      </c>
      <c r="O46" s="13">
        <v>922200</v>
      </c>
      <c r="P46" s="12">
        <v>532</v>
      </c>
      <c r="Q46" s="12">
        <v>306</v>
      </c>
      <c r="R46" s="12">
        <v>643</v>
      </c>
      <c r="S46" s="12">
        <v>134</v>
      </c>
      <c r="T46" s="12">
        <v>507.5</v>
      </c>
    </row>
    <row r="47" spans="1:20" ht="12.75">
      <c r="A47" s="2">
        <v>39157</v>
      </c>
      <c r="B47" s="8">
        <v>12159.7</v>
      </c>
      <c r="C47" s="3">
        <v>5.25</v>
      </c>
      <c r="D47" s="3">
        <v>2.08</v>
      </c>
      <c r="E47" s="8">
        <v>6133.2</v>
      </c>
      <c r="F47" s="10">
        <v>1.936</v>
      </c>
      <c r="G47" s="7">
        <v>1.463</v>
      </c>
      <c r="H47" s="3">
        <v>647.75</v>
      </c>
      <c r="I47" s="18">
        <v>60.66</v>
      </c>
      <c r="J47">
        <v>5.25</v>
      </c>
      <c r="K47" s="3">
        <v>2.7</v>
      </c>
      <c r="L47" s="3">
        <v>7.25</v>
      </c>
      <c r="M47" s="6">
        <v>4.2</v>
      </c>
      <c r="N47" s="6">
        <v>9.9</v>
      </c>
      <c r="O47" s="5">
        <v>922200</v>
      </c>
      <c r="P47" s="9">
        <v>533.5</v>
      </c>
      <c r="Q47" s="9">
        <v>313</v>
      </c>
      <c r="R47" s="9">
        <v>675</v>
      </c>
      <c r="S47" s="9">
        <v>137</v>
      </c>
      <c r="T47" s="9">
        <v>516.5</v>
      </c>
    </row>
    <row r="48" spans="1:20" ht="12.75">
      <c r="A48" s="2">
        <v>39158</v>
      </c>
      <c r="B48" s="6">
        <v>12110.3</v>
      </c>
      <c r="C48" s="3">
        <v>5.25</v>
      </c>
      <c r="D48" s="17">
        <v>2.42</v>
      </c>
      <c r="E48" s="6">
        <v>6130.6</v>
      </c>
      <c r="F48" s="10">
        <v>1.942</v>
      </c>
      <c r="G48" s="7">
        <v>1.459</v>
      </c>
      <c r="H48" s="11">
        <v>653.2</v>
      </c>
      <c r="I48" s="11">
        <v>61.15</v>
      </c>
      <c r="J48">
        <v>5.25</v>
      </c>
      <c r="K48" s="3">
        <v>2.7</v>
      </c>
      <c r="L48" s="3">
        <v>7.25</v>
      </c>
      <c r="M48" s="6">
        <v>4.2</v>
      </c>
      <c r="N48" s="6">
        <v>9.9</v>
      </c>
      <c r="O48" s="5">
        <v>922200</v>
      </c>
      <c r="P48" s="9">
        <v>534</v>
      </c>
      <c r="Q48" s="9">
        <v>318.5</v>
      </c>
      <c r="R48" s="9">
        <v>681.5</v>
      </c>
      <c r="S48" s="9">
        <v>139.25</v>
      </c>
      <c r="T48" s="12">
        <v>511.5</v>
      </c>
    </row>
    <row r="49" spans="1:20" ht="12.75">
      <c r="A49" s="2">
        <v>39161</v>
      </c>
      <c r="B49" s="8">
        <v>12225.3</v>
      </c>
      <c r="C49" s="3">
        <v>5.25</v>
      </c>
      <c r="D49" s="3">
        <v>2.42</v>
      </c>
      <c r="E49" s="8">
        <v>6189.4</v>
      </c>
      <c r="F49" s="15">
        <v>1.942</v>
      </c>
      <c r="G49" s="10">
        <v>1.462</v>
      </c>
      <c r="H49" s="11">
        <v>655</v>
      </c>
      <c r="I49" s="18">
        <v>60.57</v>
      </c>
      <c r="J49">
        <v>5.25</v>
      </c>
      <c r="K49" s="3">
        <v>2.7</v>
      </c>
      <c r="L49" s="3">
        <v>7.25</v>
      </c>
      <c r="M49" s="6">
        <v>4.2</v>
      </c>
      <c r="N49" s="6">
        <v>9.9</v>
      </c>
      <c r="O49" s="5">
        <v>922200</v>
      </c>
      <c r="P49" s="9">
        <v>548</v>
      </c>
      <c r="Q49" s="12">
        <v>314.75</v>
      </c>
      <c r="R49" s="9">
        <v>708</v>
      </c>
      <c r="S49" s="9">
        <v>142</v>
      </c>
      <c r="T49" s="9">
        <v>515.5</v>
      </c>
    </row>
    <row r="50" spans="1:20" ht="12.75">
      <c r="A50" s="2">
        <v>39162</v>
      </c>
      <c r="B50" s="8">
        <v>12288.1</v>
      </c>
      <c r="C50" s="3">
        <v>5.25</v>
      </c>
      <c r="D50" s="3">
        <v>2.42</v>
      </c>
      <c r="E50" s="8">
        <v>6220.3</v>
      </c>
      <c r="F50" s="10">
        <v>1.96</v>
      </c>
      <c r="G50" s="10">
        <v>1.474</v>
      </c>
      <c r="H50" s="11">
        <v>659</v>
      </c>
      <c r="I50" s="18">
        <v>60.23</v>
      </c>
      <c r="J50">
        <v>5.25</v>
      </c>
      <c r="K50" s="3">
        <v>2.7</v>
      </c>
      <c r="L50" s="3">
        <v>7.25</v>
      </c>
      <c r="M50" s="16">
        <v>4.6</v>
      </c>
      <c r="N50" s="6">
        <v>9.9</v>
      </c>
      <c r="O50" s="5">
        <v>922200</v>
      </c>
      <c r="P50" s="9">
        <v>553.5</v>
      </c>
      <c r="Q50" s="12">
        <v>308</v>
      </c>
      <c r="R50" s="9">
        <v>731.5</v>
      </c>
      <c r="S50" s="9">
        <v>142.5</v>
      </c>
      <c r="T50" s="12">
        <v>511.5</v>
      </c>
    </row>
    <row r="51" spans="1:20" ht="12.75">
      <c r="A51" s="2">
        <v>39163</v>
      </c>
      <c r="B51" s="6"/>
      <c r="C51" s="3">
        <v>5.25</v>
      </c>
      <c r="D51" s="3">
        <v>2.42</v>
      </c>
      <c r="E51" s="8">
        <v>6256.8</v>
      </c>
      <c r="F51" s="15">
        <v>1.959</v>
      </c>
      <c r="G51" s="7">
        <v>1.473</v>
      </c>
      <c r="H51" s="3">
        <v>658.75</v>
      </c>
      <c r="I51" s="11">
        <v>60.71</v>
      </c>
      <c r="J51">
        <v>5.25</v>
      </c>
      <c r="K51" s="3">
        <v>2.7</v>
      </c>
      <c r="L51" s="3">
        <v>7.25</v>
      </c>
      <c r="M51" s="6">
        <v>4.6</v>
      </c>
      <c r="N51" s="6">
        <v>9.9</v>
      </c>
      <c r="O51" s="5">
        <v>922200</v>
      </c>
      <c r="P51" s="9">
        <v>559</v>
      </c>
      <c r="Q51" s="12">
        <v>307</v>
      </c>
      <c r="R51" s="9">
        <v>733</v>
      </c>
      <c r="S51" s="9">
        <v>143</v>
      </c>
      <c r="T51" s="9">
        <v>516.5</v>
      </c>
    </row>
    <row r="52" spans="1:20" ht="12.75">
      <c r="A52" s="2">
        <v>39164</v>
      </c>
      <c r="B52" s="8">
        <v>12461.1</v>
      </c>
      <c r="C52" s="3">
        <v>5.25</v>
      </c>
      <c r="D52" s="3">
        <v>2.42</v>
      </c>
      <c r="E52" s="8">
        <v>6318</v>
      </c>
      <c r="F52" s="10">
        <v>1.963</v>
      </c>
      <c r="G52" s="10">
        <v>1.474</v>
      </c>
      <c r="H52" s="3">
        <v>658.75</v>
      </c>
      <c r="I52" s="11">
        <v>62.12</v>
      </c>
      <c r="J52">
        <v>5.25</v>
      </c>
      <c r="K52" s="17">
        <v>2.8</v>
      </c>
      <c r="L52" s="3">
        <v>7.25</v>
      </c>
      <c r="M52" s="6">
        <v>4.6</v>
      </c>
      <c r="N52" s="6">
        <v>9.9</v>
      </c>
      <c r="O52" s="5">
        <v>922200</v>
      </c>
      <c r="P52" s="9">
        <v>565.5</v>
      </c>
      <c r="Q52" s="12">
        <v>307</v>
      </c>
      <c r="R52" s="12">
        <v>729.5</v>
      </c>
      <c r="S52" s="9">
        <v>143.5</v>
      </c>
      <c r="T52" s="9">
        <v>528.5</v>
      </c>
    </row>
    <row r="53" spans="1:20" ht="12.75">
      <c r="A53" s="2">
        <v>39167</v>
      </c>
      <c r="B53" s="8">
        <v>12486.3</v>
      </c>
      <c r="C53" s="3">
        <v>5.25</v>
      </c>
      <c r="D53" s="3">
        <v>2.42</v>
      </c>
      <c r="E53" s="8">
        <v>6339.4</v>
      </c>
      <c r="F53" s="15">
        <v>1.963</v>
      </c>
      <c r="G53" s="10">
        <v>1.477</v>
      </c>
      <c r="H53" s="3">
        <v>656.25</v>
      </c>
      <c r="I53" s="11">
        <v>63.17</v>
      </c>
      <c r="J53">
        <v>5.25</v>
      </c>
      <c r="K53" s="3">
        <v>2.8</v>
      </c>
      <c r="L53" s="3">
        <v>7.25</v>
      </c>
      <c r="M53" s="6">
        <v>4.6</v>
      </c>
      <c r="N53" s="6">
        <v>9.9</v>
      </c>
      <c r="O53" s="5">
        <v>922200</v>
      </c>
      <c r="P53" s="9">
        <v>573.5</v>
      </c>
      <c r="Q53" s="9">
        <v>307.25</v>
      </c>
      <c r="R53" s="9">
        <v>742.5</v>
      </c>
      <c r="S53" s="12">
        <v>141.25</v>
      </c>
      <c r="T53" s="9">
        <v>541.5</v>
      </c>
    </row>
    <row r="54" spans="1:20" ht="12.75">
      <c r="A54" s="2">
        <v>39168</v>
      </c>
      <c r="B54" s="6">
        <v>12469</v>
      </c>
      <c r="C54" s="3">
        <v>5.25</v>
      </c>
      <c r="D54" s="3">
        <v>2.42</v>
      </c>
      <c r="E54" s="6">
        <v>6291.9</v>
      </c>
      <c r="F54" s="10">
        <v>1.968</v>
      </c>
      <c r="G54" s="7">
        <v>1.476</v>
      </c>
      <c r="H54" s="11">
        <v>663</v>
      </c>
      <c r="I54" s="11">
        <v>64.27</v>
      </c>
      <c r="J54">
        <v>5.25</v>
      </c>
      <c r="K54" s="3">
        <v>2.8</v>
      </c>
      <c r="L54" s="3">
        <v>7.25</v>
      </c>
      <c r="M54" s="6">
        <v>4.6</v>
      </c>
      <c r="N54" s="6">
        <v>9.9</v>
      </c>
      <c r="O54" s="5">
        <v>922200</v>
      </c>
      <c r="P54" s="12">
        <v>562.5</v>
      </c>
      <c r="Q54" s="12">
        <v>306.5</v>
      </c>
      <c r="R54" s="12">
        <v>723</v>
      </c>
      <c r="S54" s="12">
        <v>140</v>
      </c>
      <c r="T54" s="9">
        <v>542.5</v>
      </c>
    </row>
    <row r="55" spans="1:20" ht="12.75">
      <c r="A55" s="2">
        <v>39169</v>
      </c>
      <c r="B55" s="6">
        <v>12397.3</v>
      </c>
      <c r="C55" s="3">
        <v>5.25</v>
      </c>
      <c r="D55" s="3">
        <v>2.42</v>
      </c>
      <c r="E55" s="8">
        <v>6292.6</v>
      </c>
      <c r="F55" s="15">
        <v>1.966</v>
      </c>
      <c r="G55" s="7">
        <v>1.472</v>
      </c>
      <c r="H55" s="3">
        <v>663</v>
      </c>
      <c r="I55" s="11">
        <v>64.28</v>
      </c>
      <c r="J55">
        <v>5.25</v>
      </c>
      <c r="K55" s="3">
        <v>2.8</v>
      </c>
      <c r="L55" s="3">
        <v>7.25</v>
      </c>
      <c r="M55" s="6">
        <v>4.6</v>
      </c>
      <c r="N55" s="6">
        <v>9.9</v>
      </c>
      <c r="O55" s="5">
        <v>922200</v>
      </c>
      <c r="P55" s="9">
        <v>563.5</v>
      </c>
      <c r="Q55" s="12">
        <v>306.25</v>
      </c>
      <c r="R55" s="12">
        <v>721</v>
      </c>
      <c r="S55" s="9">
        <v>140.75</v>
      </c>
      <c r="T55" s="9">
        <v>543.5</v>
      </c>
    </row>
    <row r="56" spans="1:20" ht="12.75">
      <c r="A56" s="2">
        <v>39170</v>
      </c>
      <c r="B56" s="6">
        <v>12295.1</v>
      </c>
      <c r="C56" s="3">
        <v>5.25</v>
      </c>
      <c r="D56" s="3">
        <v>2.42</v>
      </c>
      <c r="E56" s="6">
        <v>6267.2</v>
      </c>
      <c r="F56" s="15">
        <v>1.963</v>
      </c>
      <c r="G56" s="7">
        <v>1.472</v>
      </c>
      <c r="H56" s="11">
        <v>666.75</v>
      </c>
      <c r="I56" s="11">
        <v>66.1</v>
      </c>
      <c r="J56">
        <v>5.25</v>
      </c>
      <c r="K56" s="3">
        <v>2.8</v>
      </c>
      <c r="L56" s="3">
        <v>7.25</v>
      </c>
      <c r="M56" s="6">
        <v>4.6</v>
      </c>
      <c r="N56" s="6">
        <v>9.9</v>
      </c>
      <c r="O56" s="5">
        <v>922200</v>
      </c>
      <c r="P56" s="12">
        <v>556.5</v>
      </c>
      <c r="Q56" s="9">
        <v>307</v>
      </c>
      <c r="R56" s="12">
        <v>711</v>
      </c>
      <c r="S56" s="12">
        <v>140.25</v>
      </c>
      <c r="T56" s="9">
        <v>552</v>
      </c>
    </row>
    <row r="57" spans="1:20" ht="12.75">
      <c r="A57" s="2">
        <v>39171</v>
      </c>
      <c r="B57" s="8">
        <v>12348.7</v>
      </c>
      <c r="C57" s="3">
        <v>5.25</v>
      </c>
      <c r="D57" s="3">
        <v>2.42</v>
      </c>
      <c r="E57" s="8">
        <v>6324.2</v>
      </c>
      <c r="F57" s="10">
        <v>1.964</v>
      </c>
      <c r="G57" s="7">
        <v>1.472</v>
      </c>
      <c r="H57" s="3">
        <v>666.75</v>
      </c>
      <c r="I57" s="11">
        <v>66.21</v>
      </c>
      <c r="J57">
        <v>5.25</v>
      </c>
      <c r="K57" s="3">
        <v>2.8</v>
      </c>
      <c r="L57" s="3">
        <v>7.25</v>
      </c>
      <c r="M57" s="6">
        <v>4.6</v>
      </c>
      <c r="N57" s="6">
        <v>9.9</v>
      </c>
      <c r="O57" s="5">
        <v>922200</v>
      </c>
      <c r="P57" s="9">
        <v>560.5</v>
      </c>
      <c r="Q57" s="9">
        <v>309</v>
      </c>
      <c r="R57" s="9">
        <v>714.5</v>
      </c>
      <c r="S57" s="9">
        <v>141.5</v>
      </c>
      <c r="T57" s="9">
        <v>558</v>
      </c>
    </row>
    <row r="58" spans="1:20" ht="12.75">
      <c r="A58" s="2">
        <v>39172</v>
      </c>
      <c r="B58" s="6">
        <v>12332.8</v>
      </c>
      <c r="C58" s="3">
        <v>5.25</v>
      </c>
      <c r="D58" s="3">
        <v>2.42</v>
      </c>
      <c r="E58" s="6">
        <v>6308</v>
      </c>
      <c r="F58" s="10">
        <v>1.969</v>
      </c>
      <c r="G58" s="10">
        <v>1.473</v>
      </c>
      <c r="H58" s="3">
        <v>666.75</v>
      </c>
      <c r="I58" s="11">
        <v>68.66</v>
      </c>
      <c r="J58">
        <v>5.25</v>
      </c>
      <c r="K58" s="3">
        <v>2.8</v>
      </c>
      <c r="L58" s="3">
        <v>7.25</v>
      </c>
      <c r="M58" s="6">
        <v>4.6</v>
      </c>
      <c r="N58" s="6">
        <v>9.9</v>
      </c>
      <c r="O58" s="5">
        <v>922200</v>
      </c>
      <c r="P58" s="12">
        <v>560</v>
      </c>
      <c r="Q58">
        <v>308.75</v>
      </c>
      <c r="R58" s="9">
        <v>717.5</v>
      </c>
      <c r="S58" s="12">
        <v>135.5</v>
      </c>
      <c r="T58" s="12">
        <v>552</v>
      </c>
    </row>
    <row r="59" spans="1:20" ht="12.75">
      <c r="A59" s="2">
        <v>39175</v>
      </c>
      <c r="B59" s="8">
        <v>12357.5</v>
      </c>
      <c r="C59" s="3">
        <v>5.25</v>
      </c>
      <c r="D59" s="3">
        <v>2.42</v>
      </c>
      <c r="E59" s="8">
        <v>6315.5</v>
      </c>
      <c r="F59" s="10">
        <v>1.979</v>
      </c>
      <c r="G59" s="10">
        <v>1.479</v>
      </c>
      <c r="H59" s="3">
        <v>666.75</v>
      </c>
      <c r="I59" s="18">
        <v>68.65</v>
      </c>
      <c r="J59">
        <v>5.25</v>
      </c>
      <c r="K59" s="3">
        <v>2.8</v>
      </c>
      <c r="L59" s="3">
        <v>7.25</v>
      </c>
      <c r="M59" s="6">
        <v>4.6</v>
      </c>
      <c r="N59" s="6">
        <v>9.9</v>
      </c>
      <c r="O59" s="5">
        <v>922200</v>
      </c>
      <c r="P59" s="9">
        <v>567</v>
      </c>
      <c r="Q59" s="9">
        <v>314.5</v>
      </c>
      <c r="R59" s="9">
        <v>722</v>
      </c>
      <c r="S59" s="12">
        <v>136.5</v>
      </c>
      <c r="T59" s="12">
        <v>547.5</v>
      </c>
    </row>
    <row r="60" spans="1:20" ht="12.75">
      <c r="A60" s="2">
        <v>39176</v>
      </c>
      <c r="B60" s="6">
        <v>12510.3</v>
      </c>
      <c r="C60" s="3">
        <v>5.25</v>
      </c>
      <c r="D60" s="3">
        <v>2.42</v>
      </c>
      <c r="E60" s="8">
        <v>6366.1</v>
      </c>
      <c r="F60" s="15">
        <v>1.977</v>
      </c>
      <c r="G60" s="10">
        <v>1.48</v>
      </c>
      <c r="H60" s="3">
        <v>664.25</v>
      </c>
      <c r="I60" s="18">
        <v>67.51</v>
      </c>
      <c r="J60">
        <v>5.25</v>
      </c>
      <c r="K60" s="3">
        <v>2.8</v>
      </c>
      <c r="L60" s="3">
        <v>7.25</v>
      </c>
      <c r="M60" s="6">
        <v>4.6</v>
      </c>
      <c r="N60" s="6">
        <v>9.9</v>
      </c>
      <c r="O60" s="5">
        <v>922200</v>
      </c>
      <c r="P60" s="12">
        <v>567</v>
      </c>
      <c r="Q60" s="9">
        <v>317.75</v>
      </c>
      <c r="R60" s="9">
        <v>732</v>
      </c>
      <c r="S60" s="9">
        <v>138.25</v>
      </c>
      <c r="T60" s="9">
        <v>549</v>
      </c>
    </row>
    <row r="61" spans="1:20" ht="12.75">
      <c r="A61" s="2">
        <v>39177</v>
      </c>
      <c r="B61" s="8">
        <v>12529.2</v>
      </c>
      <c r="C61" s="3">
        <v>5.25</v>
      </c>
      <c r="D61" s="3">
        <v>2.42</v>
      </c>
      <c r="E61" s="6">
        <v>6364.7</v>
      </c>
      <c r="F61" s="15">
        <v>1.975</v>
      </c>
      <c r="G61" s="7">
        <v>1.478</v>
      </c>
      <c r="H61" s="3">
        <v>664.25</v>
      </c>
      <c r="I61" s="11">
        <v>67.95</v>
      </c>
      <c r="J61">
        <v>5.25</v>
      </c>
      <c r="K61" s="3">
        <v>2.8</v>
      </c>
      <c r="L61" s="3">
        <v>7.25</v>
      </c>
      <c r="M61" s="6">
        <v>4.6</v>
      </c>
      <c r="N61" s="6">
        <v>9.9</v>
      </c>
      <c r="O61" s="5">
        <v>922200</v>
      </c>
      <c r="P61" s="12">
        <v>564</v>
      </c>
      <c r="Q61" s="9">
        <v>321</v>
      </c>
      <c r="R61" s="9">
        <v>744.5</v>
      </c>
      <c r="S61" s="12">
        <v>137.25</v>
      </c>
      <c r="T61" s="12">
        <v>548</v>
      </c>
    </row>
    <row r="62" spans="1:20" ht="12.75">
      <c r="A62" s="2">
        <v>39183</v>
      </c>
      <c r="B62" s="8">
        <v>12562</v>
      </c>
      <c r="C62" s="3">
        <v>5.25</v>
      </c>
      <c r="D62" s="3">
        <v>2.42</v>
      </c>
      <c r="E62" s="8">
        <v>6417.8</v>
      </c>
      <c r="F62" s="15">
        <v>1.972</v>
      </c>
      <c r="G62" s="7">
        <v>1.468</v>
      </c>
      <c r="H62" s="11">
        <v>677.4</v>
      </c>
      <c r="I62" s="18">
        <v>67.35</v>
      </c>
      <c r="J62">
        <v>5.25</v>
      </c>
      <c r="K62" s="3">
        <v>2.8</v>
      </c>
      <c r="L62" s="3">
        <v>7.25</v>
      </c>
      <c r="M62" s="6">
        <v>4.6</v>
      </c>
      <c r="N62" s="16">
        <v>11.1</v>
      </c>
      <c r="O62" s="5">
        <v>922200</v>
      </c>
      <c r="P62" s="9">
        <v>571.5</v>
      </c>
      <c r="Q62" s="12">
        <v>315.75</v>
      </c>
      <c r="R62" s="9">
        <v>749</v>
      </c>
      <c r="S62" s="9">
        <v>138.25</v>
      </c>
      <c r="T62" s="9">
        <v>554.5</v>
      </c>
    </row>
    <row r="63" spans="1:20" ht="12.75">
      <c r="A63" s="2">
        <v>39184</v>
      </c>
      <c r="B63" s="6">
        <v>12484.6</v>
      </c>
      <c r="C63" s="3">
        <v>5.25</v>
      </c>
      <c r="D63" s="3">
        <v>2.42</v>
      </c>
      <c r="E63" s="6">
        <v>6413.3</v>
      </c>
      <c r="F63" s="10">
        <v>1.978</v>
      </c>
      <c r="G63" s="10">
        <v>1.472</v>
      </c>
      <c r="H63" s="3">
        <v>677.4</v>
      </c>
      <c r="I63" s="11">
        <v>67.9</v>
      </c>
      <c r="J63">
        <v>5.25</v>
      </c>
      <c r="K63" s="3">
        <v>2.8</v>
      </c>
      <c r="L63" s="3">
        <v>7.25</v>
      </c>
      <c r="M63" s="6">
        <v>4.6</v>
      </c>
      <c r="N63" s="6">
        <v>11.1</v>
      </c>
      <c r="O63" s="5">
        <v>922200</v>
      </c>
      <c r="P63" s="12">
        <v>570</v>
      </c>
      <c r="Q63" s="12">
        <v>309.25</v>
      </c>
      <c r="R63" s="9">
        <v>752</v>
      </c>
      <c r="S63" s="9">
        <v>138.5</v>
      </c>
      <c r="T63" s="9">
        <v>559.5</v>
      </c>
    </row>
    <row r="64" spans="1:20" ht="12.75">
      <c r="A64" s="2">
        <v>39185</v>
      </c>
      <c r="B64" s="8">
        <v>12525.3</v>
      </c>
      <c r="C64" s="3">
        <v>5.25</v>
      </c>
      <c r="D64" s="3">
        <v>2.42</v>
      </c>
      <c r="E64" s="8">
        <v>6416.4</v>
      </c>
      <c r="F64" s="15">
        <v>1.978</v>
      </c>
      <c r="G64" s="7">
        <v>1.467</v>
      </c>
      <c r="H64" s="3">
        <v>677.4</v>
      </c>
      <c r="I64" s="11">
        <v>68.13</v>
      </c>
      <c r="J64">
        <v>5.25</v>
      </c>
      <c r="K64" s="3">
        <v>2.8</v>
      </c>
      <c r="L64" s="3">
        <v>7.25</v>
      </c>
      <c r="M64" s="6">
        <v>4.6</v>
      </c>
      <c r="N64" s="6">
        <v>11.1</v>
      </c>
      <c r="O64" s="5">
        <v>922200</v>
      </c>
      <c r="P64" s="12">
        <v>570.5</v>
      </c>
      <c r="Q64" s="9">
        <v>314.5</v>
      </c>
      <c r="R64" s="12">
        <v>738.5</v>
      </c>
      <c r="S64" s="12">
        <v>138.25</v>
      </c>
      <c r="T64" s="9">
        <v>563</v>
      </c>
    </row>
    <row r="65" spans="1:20" ht="12.75">
      <c r="A65" s="2">
        <v>39186</v>
      </c>
      <c r="B65" s="8">
        <v>12612.1</v>
      </c>
      <c r="C65" s="3">
        <v>5.25</v>
      </c>
      <c r="D65" s="3">
        <v>2.42</v>
      </c>
      <c r="E65" s="8">
        <v>6462.4</v>
      </c>
      <c r="F65" s="10">
        <v>1.982</v>
      </c>
      <c r="G65" s="7">
        <v>1.467</v>
      </c>
      <c r="H65" s="3">
        <v>677.4</v>
      </c>
      <c r="I65" s="11">
        <v>69.14</v>
      </c>
      <c r="J65">
        <v>5.25</v>
      </c>
      <c r="K65" s="3">
        <v>2.8</v>
      </c>
      <c r="L65" s="3">
        <v>7.25</v>
      </c>
      <c r="M65" s="6">
        <v>4.6</v>
      </c>
      <c r="N65" s="6">
        <v>11.1</v>
      </c>
      <c r="O65" s="5">
        <v>922200</v>
      </c>
      <c r="P65" s="9">
        <v>574.5</v>
      </c>
      <c r="Q65" s="9">
        <v>316</v>
      </c>
      <c r="R65" s="12">
        <v>737.5</v>
      </c>
      <c r="S65" s="9">
        <v>138.5</v>
      </c>
      <c r="T65" s="9">
        <v>576</v>
      </c>
    </row>
    <row r="66" spans="1:20" ht="12.75">
      <c r="A66" s="2">
        <v>39189</v>
      </c>
      <c r="B66" s="8">
        <v>12720.4</v>
      </c>
      <c r="C66" s="3">
        <v>5.25</v>
      </c>
      <c r="D66" s="3">
        <v>2.42</v>
      </c>
      <c r="E66" s="8">
        <v>6516.2</v>
      </c>
      <c r="F66" s="10">
        <v>1.99</v>
      </c>
      <c r="G66" s="10">
        <v>1.469</v>
      </c>
      <c r="H66" s="11">
        <v>681.75</v>
      </c>
      <c r="I66" s="18">
        <v>67.67</v>
      </c>
      <c r="J66">
        <v>5.25</v>
      </c>
      <c r="K66" s="17">
        <v>3.1</v>
      </c>
      <c r="L66" s="3">
        <v>7.25</v>
      </c>
      <c r="M66" s="6">
        <v>4.6</v>
      </c>
      <c r="N66" s="6">
        <v>11.1</v>
      </c>
      <c r="O66" s="5">
        <v>922200</v>
      </c>
      <c r="P66" s="12">
        <v>586</v>
      </c>
      <c r="Q66" s="9">
        <v>316.75</v>
      </c>
      <c r="R66" s="9">
        <v>745.5</v>
      </c>
      <c r="S66" s="9">
        <v>139.5</v>
      </c>
      <c r="T66" s="9">
        <v>576.5</v>
      </c>
    </row>
    <row r="67" spans="1:20" ht="12.75">
      <c r="A67" s="2">
        <v>39190</v>
      </c>
      <c r="B67" s="8">
        <v>12756.5</v>
      </c>
      <c r="C67" s="3">
        <v>5.25</v>
      </c>
      <c r="D67" s="17">
        <v>2.78</v>
      </c>
      <c r="E67" s="6">
        <v>6497.8</v>
      </c>
      <c r="F67" s="15">
        <v>1.99</v>
      </c>
      <c r="G67" s="7">
        <v>1.469</v>
      </c>
      <c r="H67" s="3">
        <v>677.25</v>
      </c>
      <c r="I67" s="18">
        <v>66.68</v>
      </c>
      <c r="J67">
        <v>5.25</v>
      </c>
      <c r="K67" s="3">
        <v>3.1</v>
      </c>
      <c r="L67" s="3">
        <v>7.25</v>
      </c>
      <c r="M67" s="16">
        <v>4.8</v>
      </c>
      <c r="N67" s="6">
        <v>11.1</v>
      </c>
      <c r="O67" s="5">
        <v>922200</v>
      </c>
      <c r="P67" s="12">
        <v>585</v>
      </c>
      <c r="Q67" s="12">
        <v>313</v>
      </c>
      <c r="R67" s="12">
        <v>740.5</v>
      </c>
      <c r="S67" s="9">
        <v>140.25</v>
      </c>
      <c r="T67" s="9">
        <v>577.5</v>
      </c>
    </row>
    <row r="68" spans="1:20" ht="12.75">
      <c r="A68" s="2">
        <v>39191</v>
      </c>
      <c r="B68" s="8">
        <v>12780</v>
      </c>
      <c r="C68" s="3">
        <v>5.25</v>
      </c>
      <c r="D68" s="3">
        <v>2.78</v>
      </c>
      <c r="E68" s="6">
        <v>6449.4</v>
      </c>
      <c r="F68" s="10">
        <v>2.006</v>
      </c>
      <c r="G68" s="10">
        <v>1.477</v>
      </c>
      <c r="H68" s="3">
        <v>677.25</v>
      </c>
      <c r="I68" s="18">
        <v>65.7</v>
      </c>
      <c r="J68">
        <v>5.25</v>
      </c>
      <c r="K68" s="3">
        <v>3.1</v>
      </c>
      <c r="L68" s="3">
        <v>7.25</v>
      </c>
      <c r="M68" s="6">
        <v>4.8</v>
      </c>
      <c r="N68" s="6">
        <v>11.1</v>
      </c>
      <c r="O68" s="13">
        <v>910800</v>
      </c>
      <c r="P68" s="12">
        <v>582</v>
      </c>
      <c r="Q68" s="12">
        <v>311.75</v>
      </c>
      <c r="R68" s="12">
        <v>733.5</v>
      </c>
      <c r="S68" s="12">
        <v>138.75</v>
      </c>
      <c r="T68" s="12">
        <v>574</v>
      </c>
    </row>
    <row r="69" spans="1:20" ht="12.75">
      <c r="A69" s="2">
        <v>39192</v>
      </c>
      <c r="B69" s="8">
        <v>12808.6</v>
      </c>
      <c r="C69" s="3">
        <v>5.25</v>
      </c>
      <c r="D69" s="3">
        <v>2.78</v>
      </c>
      <c r="E69" s="6">
        <v>6440.6</v>
      </c>
      <c r="F69" s="15">
        <v>2.002</v>
      </c>
      <c r="G69" s="7">
        <v>1.472</v>
      </c>
      <c r="H69" s="3">
        <v>677.25</v>
      </c>
      <c r="I69" s="18">
        <v>66.1</v>
      </c>
      <c r="J69">
        <v>5.25</v>
      </c>
      <c r="K69" s="3">
        <v>3.1</v>
      </c>
      <c r="L69" s="3">
        <v>7.25</v>
      </c>
      <c r="M69" s="6">
        <v>4.8</v>
      </c>
      <c r="N69" s="6">
        <v>11.1</v>
      </c>
      <c r="O69" s="5">
        <v>910800</v>
      </c>
      <c r="P69" s="12">
        <v>577.5</v>
      </c>
      <c r="Q69" s="12">
        <v>307.75</v>
      </c>
      <c r="R69" s="9">
        <v>745</v>
      </c>
      <c r="S69" s="9">
        <v>140.25</v>
      </c>
      <c r="T69" s="12">
        <v>571.5</v>
      </c>
    </row>
    <row r="70" spans="1:20" ht="12.75">
      <c r="A70" s="2">
        <v>39193</v>
      </c>
      <c r="B70" s="8">
        <v>12920.3</v>
      </c>
      <c r="C70" s="3">
        <v>5.25</v>
      </c>
      <c r="D70" s="3">
        <v>2.78</v>
      </c>
      <c r="E70" s="8">
        <v>6486.8</v>
      </c>
      <c r="F70" s="10">
        <v>2.005</v>
      </c>
      <c r="G70" s="10">
        <v>1.473</v>
      </c>
      <c r="H70" s="3">
        <v>677.25</v>
      </c>
      <c r="I70" s="11">
        <v>66.3</v>
      </c>
      <c r="J70">
        <v>5.25</v>
      </c>
      <c r="K70" s="3">
        <v>3.1</v>
      </c>
      <c r="L70" s="3">
        <v>7.25</v>
      </c>
      <c r="M70" s="6">
        <v>4.8</v>
      </c>
      <c r="N70" s="6">
        <v>11.1</v>
      </c>
      <c r="O70" s="5">
        <v>910800</v>
      </c>
      <c r="P70" s="9">
        <v>583</v>
      </c>
      <c r="Q70" s="9">
        <v>308</v>
      </c>
      <c r="R70" s="12">
        <v>742</v>
      </c>
      <c r="S70" s="9">
        <v>143</v>
      </c>
      <c r="T70" s="12">
        <v>570</v>
      </c>
    </row>
    <row r="71" spans="1:20" ht="12.75">
      <c r="A71" s="2">
        <v>39196</v>
      </c>
      <c r="B71" s="8">
        <v>12966.5</v>
      </c>
      <c r="C71" s="3">
        <v>5.25</v>
      </c>
      <c r="D71" s="3">
        <v>2.78</v>
      </c>
      <c r="E71" s="6">
        <v>6479.7</v>
      </c>
      <c r="F71" s="15">
        <v>2.002</v>
      </c>
      <c r="G71" s="10">
        <v>1.474</v>
      </c>
      <c r="H71" s="3">
        <v>677.25</v>
      </c>
      <c r="I71" s="11">
        <v>67.38</v>
      </c>
      <c r="J71">
        <v>5.25</v>
      </c>
      <c r="K71" s="3">
        <v>3.1</v>
      </c>
      <c r="L71" s="3">
        <v>7.25</v>
      </c>
      <c r="M71" s="6">
        <v>4.8</v>
      </c>
      <c r="N71" s="6">
        <v>11.1</v>
      </c>
      <c r="O71" s="5">
        <v>910800</v>
      </c>
      <c r="P71" s="9">
        <v>584</v>
      </c>
      <c r="Q71" s="9">
        <v>308.75</v>
      </c>
      <c r="R71" s="9">
        <v>754.5</v>
      </c>
      <c r="S71" s="9">
        <v>142.75</v>
      </c>
      <c r="T71" s="9">
        <v>577.5</v>
      </c>
    </row>
    <row r="72" spans="1:20" ht="12.75">
      <c r="A72" s="2">
        <v>39197</v>
      </c>
      <c r="B72" s="6">
        <v>12942.2</v>
      </c>
      <c r="C72" s="3">
        <v>5.25</v>
      </c>
      <c r="D72" s="3">
        <v>2.78</v>
      </c>
      <c r="E72" s="6">
        <v>6429.5</v>
      </c>
      <c r="F72" s="15">
        <v>2.001</v>
      </c>
      <c r="G72" s="7">
        <v>1.469</v>
      </c>
      <c r="H72" s="3">
        <v>677.25</v>
      </c>
      <c r="I72" s="18">
        <v>66.82</v>
      </c>
      <c r="J72">
        <v>5.25</v>
      </c>
      <c r="K72" s="3">
        <v>3.1</v>
      </c>
      <c r="L72" s="3">
        <v>7.25</v>
      </c>
      <c r="M72" s="6">
        <v>4.8</v>
      </c>
      <c r="N72" s="6">
        <v>11.1</v>
      </c>
      <c r="O72" s="5">
        <v>910800</v>
      </c>
      <c r="P72" s="12">
        <v>578</v>
      </c>
      <c r="Q72" s="12">
        <v>304.25</v>
      </c>
      <c r="R72" s="12">
        <v>742.5</v>
      </c>
      <c r="S72" s="12">
        <v>141.75</v>
      </c>
      <c r="T72" s="12">
        <v>568.5</v>
      </c>
    </row>
    <row r="73" spans="1:20" ht="12.75">
      <c r="A73" s="2">
        <v>39198</v>
      </c>
      <c r="B73" s="8">
        <v>13089.89</v>
      </c>
      <c r="C73" s="3">
        <v>5.25</v>
      </c>
      <c r="D73" s="3">
        <v>2.78</v>
      </c>
      <c r="E73" s="8">
        <v>6461.9</v>
      </c>
      <c r="F73" s="15">
        <v>2.003</v>
      </c>
      <c r="G73" s="7">
        <v>1.468</v>
      </c>
      <c r="H73" s="11">
        <v>684</v>
      </c>
      <c r="I73" s="18">
        <v>68.32</v>
      </c>
      <c r="J73">
        <v>5.25</v>
      </c>
      <c r="K73" s="3">
        <v>3.1</v>
      </c>
      <c r="L73" s="3">
        <v>7.25</v>
      </c>
      <c r="M73" s="6">
        <v>4.8</v>
      </c>
      <c r="N73" s="6">
        <v>11.1</v>
      </c>
      <c r="O73" s="5">
        <v>910800</v>
      </c>
      <c r="P73" s="9">
        <v>580.5</v>
      </c>
      <c r="Q73" s="9">
        <v>306</v>
      </c>
      <c r="R73" s="9">
        <v>752.5</v>
      </c>
      <c r="S73" s="12">
        <v>141.75</v>
      </c>
      <c r="T73" s="9">
        <v>571.5</v>
      </c>
    </row>
    <row r="74" spans="1:20" ht="12.75">
      <c r="A74" s="2">
        <v>39199</v>
      </c>
      <c r="B74" s="8">
        <v>13095.3</v>
      </c>
      <c r="C74" s="3">
        <v>5.25</v>
      </c>
      <c r="D74" s="3">
        <v>2.78</v>
      </c>
      <c r="E74" s="8">
        <v>6469.4</v>
      </c>
      <c r="F74" s="15">
        <v>1.99</v>
      </c>
      <c r="G74" s="7">
        <v>1.464</v>
      </c>
      <c r="H74" s="3">
        <v>673</v>
      </c>
      <c r="I74" s="11">
        <v>68.41</v>
      </c>
      <c r="J74">
        <v>5.25</v>
      </c>
      <c r="K74" s="3">
        <v>3.1</v>
      </c>
      <c r="L74" s="3">
        <v>7.25</v>
      </c>
      <c r="M74" s="6">
        <v>4.8</v>
      </c>
      <c r="N74" s="6">
        <v>11.1</v>
      </c>
      <c r="O74" s="5">
        <v>910800</v>
      </c>
      <c r="P74" s="9">
        <v>582</v>
      </c>
      <c r="Q74" s="9">
        <v>307.5</v>
      </c>
      <c r="R74" s="12">
        <v>746.5</v>
      </c>
      <c r="S74" s="9">
        <v>143.25</v>
      </c>
      <c r="T74" s="12">
        <v>571</v>
      </c>
    </row>
    <row r="75" spans="1:20" ht="12.75">
      <c r="A75" s="2">
        <v>39200</v>
      </c>
      <c r="B75" s="6">
        <v>13118.7</v>
      </c>
      <c r="C75" s="3">
        <v>5.25</v>
      </c>
      <c r="D75" s="3">
        <v>2.78</v>
      </c>
      <c r="E75" s="6">
        <v>6418.7</v>
      </c>
      <c r="F75" s="10">
        <v>1.998</v>
      </c>
      <c r="G75" s="10">
        <v>1.466</v>
      </c>
      <c r="H75" s="11">
        <v>677.5</v>
      </c>
      <c r="I75" s="18">
        <v>68</v>
      </c>
      <c r="J75">
        <v>5.25</v>
      </c>
      <c r="K75" s="3">
        <v>3.1</v>
      </c>
      <c r="L75" s="3">
        <v>7.25</v>
      </c>
      <c r="M75" s="6">
        <v>4.8</v>
      </c>
      <c r="N75" s="6">
        <v>11.1</v>
      </c>
      <c r="O75" s="5">
        <v>910800</v>
      </c>
      <c r="P75" s="12">
        <v>579</v>
      </c>
      <c r="Q75" s="12">
        <v>305.25</v>
      </c>
      <c r="R75" s="12">
        <v>739</v>
      </c>
      <c r="S75" s="12">
        <v>143</v>
      </c>
      <c r="T75" s="12">
        <v>561.5</v>
      </c>
    </row>
    <row r="76" spans="1:20" ht="12.75">
      <c r="A76" s="2">
        <v>39203</v>
      </c>
      <c r="B76" s="6">
        <v>13156.6</v>
      </c>
      <c r="C76" s="3">
        <v>5.25</v>
      </c>
      <c r="D76" s="3">
        <v>2.78</v>
      </c>
      <c r="E76" s="6">
        <v>6449.2</v>
      </c>
      <c r="F76" s="15">
        <v>2</v>
      </c>
      <c r="G76" s="7">
        <v>1.464</v>
      </c>
      <c r="H76" s="3">
        <v>677</v>
      </c>
      <c r="I76" s="18">
        <v>67.8</v>
      </c>
      <c r="J76">
        <v>5.25</v>
      </c>
      <c r="K76" s="3">
        <v>3.1</v>
      </c>
      <c r="L76" s="3">
        <v>7.25</v>
      </c>
      <c r="M76" s="6">
        <v>4.8</v>
      </c>
      <c r="N76" s="6">
        <v>11.1</v>
      </c>
      <c r="O76" s="5">
        <v>910800</v>
      </c>
      <c r="P76" s="9">
        <v>581</v>
      </c>
      <c r="Q76" s="9">
        <v>307</v>
      </c>
      <c r="R76" s="12">
        <v>749</v>
      </c>
      <c r="S76" s="12">
        <v>143.5</v>
      </c>
      <c r="T76" s="12">
        <v>565.5</v>
      </c>
    </row>
    <row r="77" spans="1:20" ht="12.75">
      <c r="A77" s="2">
        <v>39204</v>
      </c>
      <c r="B77" s="6">
        <v>13061.1</v>
      </c>
      <c r="C77" s="3">
        <v>5.25</v>
      </c>
      <c r="D77" s="3">
        <v>2.78</v>
      </c>
      <c r="E77" s="6">
        <v>6419.6</v>
      </c>
      <c r="F77" s="15">
        <v>1.998</v>
      </c>
      <c r="G77" s="7">
        <v>1.469</v>
      </c>
      <c r="H77" s="3">
        <v>673.6</v>
      </c>
      <c r="I77" s="18">
        <v>67.77</v>
      </c>
      <c r="J77">
        <v>5.25</v>
      </c>
      <c r="K77" s="3">
        <v>3.1</v>
      </c>
      <c r="L77" s="3">
        <v>7.25</v>
      </c>
      <c r="M77" s="6">
        <v>4.8</v>
      </c>
      <c r="N77" s="6">
        <v>11.1</v>
      </c>
      <c r="O77" s="5">
        <v>910800</v>
      </c>
      <c r="P77" s="9">
        <v>573</v>
      </c>
      <c r="Q77" s="9">
        <v>310</v>
      </c>
      <c r="R77" s="12">
        <v>746</v>
      </c>
      <c r="S77" s="12">
        <v>143.25</v>
      </c>
      <c r="T77" s="12">
        <v>563</v>
      </c>
    </row>
    <row r="78" spans="1:20" ht="12.75">
      <c r="A78" s="2">
        <v>39205</v>
      </c>
      <c r="B78" s="8">
        <v>13241.4</v>
      </c>
      <c r="C78" s="3">
        <v>5.25</v>
      </c>
      <c r="D78" s="3">
        <v>2.78</v>
      </c>
      <c r="E78" s="8">
        <v>6484.5</v>
      </c>
      <c r="F78" s="15">
        <v>1.991</v>
      </c>
      <c r="G78" s="7">
        <v>1.464</v>
      </c>
      <c r="H78" s="3">
        <v>669.5</v>
      </c>
      <c r="I78" s="18">
        <v>66.62</v>
      </c>
      <c r="J78">
        <v>5.25</v>
      </c>
      <c r="K78" s="3">
        <v>3.1</v>
      </c>
      <c r="L78" s="3">
        <v>7.25</v>
      </c>
      <c r="M78" s="6">
        <v>4.8</v>
      </c>
      <c r="N78" s="6">
        <v>11.1</v>
      </c>
      <c r="O78" s="5">
        <v>910800</v>
      </c>
      <c r="P78" s="9">
        <v>582</v>
      </c>
      <c r="Q78" s="9">
        <v>317</v>
      </c>
      <c r="R78" s="9">
        <v>752</v>
      </c>
      <c r="S78" s="9">
        <v>144</v>
      </c>
      <c r="T78" s="9">
        <v>566</v>
      </c>
    </row>
    <row r="79" spans="1:20" ht="12.75">
      <c r="A79" s="2">
        <v>39206</v>
      </c>
      <c r="B79" s="6">
        <v>13241.4</v>
      </c>
      <c r="C79" s="3">
        <v>5.25</v>
      </c>
      <c r="D79" s="3">
        <v>2.78</v>
      </c>
      <c r="E79" s="8">
        <v>6537.8</v>
      </c>
      <c r="F79" s="15">
        <v>1.987</v>
      </c>
      <c r="G79" s="10">
        <v>1.465</v>
      </c>
      <c r="H79" s="11">
        <v>674.2</v>
      </c>
      <c r="I79" s="18">
        <v>66.02</v>
      </c>
      <c r="J79">
        <v>5.25</v>
      </c>
      <c r="K79" s="3">
        <v>3.1</v>
      </c>
      <c r="L79" s="3">
        <v>7.25</v>
      </c>
      <c r="M79" s="6">
        <v>4.8</v>
      </c>
      <c r="N79" s="6">
        <v>11.1</v>
      </c>
      <c r="O79" s="5">
        <v>910800</v>
      </c>
      <c r="P79" s="9">
        <v>585.5</v>
      </c>
      <c r="Q79" s="9">
        <v>319.75</v>
      </c>
      <c r="R79" s="9">
        <v>794</v>
      </c>
      <c r="S79" s="12">
        <v>143.5</v>
      </c>
      <c r="T79" s="9">
        <v>575.5</v>
      </c>
    </row>
    <row r="80" spans="1:20" ht="12.75">
      <c r="A80" s="2">
        <v>39207</v>
      </c>
      <c r="B80" s="8">
        <v>13264.6</v>
      </c>
      <c r="C80" s="3">
        <v>5.25</v>
      </c>
      <c r="D80" s="3">
        <v>2.78</v>
      </c>
      <c r="E80" s="6">
        <v>6603.7</v>
      </c>
      <c r="F80" s="10">
        <v>1.993</v>
      </c>
      <c r="G80" s="10">
        <v>1.467</v>
      </c>
      <c r="H80" s="11">
        <v>688.8</v>
      </c>
      <c r="I80" s="18">
        <v>65.26</v>
      </c>
      <c r="J80">
        <v>5.25</v>
      </c>
      <c r="K80" s="3">
        <v>3.1</v>
      </c>
      <c r="L80" s="3">
        <v>7.25</v>
      </c>
      <c r="M80" s="6">
        <v>4.8</v>
      </c>
      <c r="N80" s="6">
        <v>11.1</v>
      </c>
      <c r="O80" s="5">
        <v>910800</v>
      </c>
      <c r="P80" s="9">
        <v>587</v>
      </c>
      <c r="Q80" s="9">
        <v>329.25</v>
      </c>
      <c r="R80" s="9">
        <v>811</v>
      </c>
      <c r="S80" s="9">
        <v>144.75</v>
      </c>
      <c r="T80" s="9">
        <v>577</v>
      </c>
    </row>
    <row r="81" spans="1:20" ht="12.75">
      <c r="A81" s="2">
        <v>39211</v>
      </c>
      <c r="B81" s="8">
        <v>13309</v>
      </c>
      <c r="C81" s="3">
        <v>5.25</v>
      </c>
      <c r="D81" s="3">
        <v>2.78</v>
      </c>
      <c r="E81" s="6">
        <v>6550.4</v>
      </c>
      <c r="F81" s="15">
        <v>1.99</v>
      </c>
      <c r="G81" s="10">
        <v>1.47</v>
      </c>
      <c r="H81" s="3">
        <v>684.25</v>
      </c>
      <c r="I81" s="11">
        <v>65.45</v>
      </c>
      <c r="J81">
        <v>5.25</v>
      </c>
      <c r="K81" s="3">
        <v>3.1</v>
      </c>
      <c r="L81" s="3">
        <v>7.25</v>
      </c>
      <c r="M81" s="6">
        <v>4.8</v>
      </c>
      <c r="N81" s="6">
        <v>11.1</v>
      </c>
      <c r="O81" s="5">
        <v>910800</v>
      </c>
      <c r="P81" s="12">
        <v>582</v>
      </c>
      <c r="Q81" s="9">
        <v>335.25</v>
      </c>
      <c r="R81" s="12">
        <v>802</v>
      </c>
      <c r="S81" s="12">
        <v>143.5</v>
      </c>
      <c r="T81" s="12">
        <v>570.5</v>
      </c>
    </row>
    <row r="82" spans="1:20" ht="12.75">
      <c r="A82" s="2">
        <v>39212</v>
      </c>
      <c r="B82" s="8">
        <v>13333.4</v>
      </c>
      <c r="C82" s="3">
        <v>5.25</v>
      </c>
      <c r="D82" s="3">
        <v>2.78</v>
      </c>
      <c r="E82" s="6">
        <v>6549.6</v>
      </c>
      <c r="F82" s="10">
        <v>1.997</v>
      </c>
      <c r="G82" s="10">
        <v>1.474</v>
      </c>
      <c r="H82" s="3">
        <v>683</v>
      </c>
      <c r="I82" s="18">
        <v>64.66</v>
      </c>
      <c r="J82">
        <v>5.25</v>
      </c>
      <c r="K82" s="3">
        <v>3.1</v>
      </c>
      <c r="L82" s="3">
        <v>7.25</v>
      </c>
      <c r="M82" s="6">
        <v>4.8</v>
      </c>
      <c r="N82" s="6">
        <v>11.1</v>
      </c>
      <c r="O82" s="5">
        <v>910800</v>
      </c>
      <c r="P82" s="12">
        <v>581</v>
      </c>
      <c r="Q82" s="12">
        <v>330.75</v>
      </c>
      <c r="R82" s="12">
        <v>782</v>
      </c>
      <c r="S82" s="12">
        <v>141.5</v>
      </c>
      <c r="T82" s="12">
        <v>562</v>
      </c>
    </row>
    <row r="83" spans="1:20" ht="12.75">
      <c r="A83" s="2">
        <v>39213</v>
      </c>
      <c r="B83" s="6">
        <v>13256.4</v>
      </c>
      <c r="C83" s="3">
        <v>5.25</v>
      </c>
      <c r="D83" s="3">
        <v>2.78</v>
      </c>
      <c r="E83" s="6">
        <v>6524.1</v>
      </c>
      <c r="F83" s="15">
        <v>1.981</v>
      </c>
      <c r="G83" s="7">
        <v>1.468</v>
      </c>
      <c r="H83" s="3">
        <v>683</v>
      </c>
      <c r="I83" s="11">
        <v>65.77</v>
      </c>
      <c r="J83" s="19">
        <v>5.5</v>
      </c>
      <c r="K83" s="3">
        <v>3.1</v>
      </c>
      <c r="L83" s="3">
        <v>7.5</v>
      </c>
      <c r="M83" s="6">
        <v>4.8</v>
      </c>
      <c r="N83" s="16">
        <v>10.9</v>
      </c>
      <c r="O83" s="5">
        <v>910800</v>
      </c>
      <c r="P83" s="9">
        <v>581.5</v>
      </c>
      <c r="Q83" s="12">
        <v>328.5</v>
      </c>
      <c r="R83" s="12">
        <v>781.5</v>
      </c>
      <c r="S83" s="12">
        <v>141.75</v>
      </c>
      <c r="T83" s="12">
        <v>557.5</v>
      </c>
    </row>
    <row r="84" spans="1:20" ht="12.75">
      <c r="A84" s="2">
        <v>39214</v>
      </c>
      <c r="B84" s="8">
        <v>13326.7</v>
      </c>
      <c r="C84" s="3">
        <v>5.25</v>
      </c>
      <c r="D84" s="3">
        <v>2.78</v>
      </c>
      <c r="E84" s="8">
        <v>6565.7</v>
      </c>
      <c r="F84" s="10">
        <v>1.982</v>
      </c>
      <c r="G84" s="7">
        <v>1.466</v>
      </c>
      <c r="H84" s="3">
        <v>683</v>
      </c>
      <c r="I84" s="18">
        <v>66.29</v>
      </c>
      <c r="J84">
        <v>5.5</v>
      </c>
      <c r="K84" s="3">
        <v>3.1</v>
      </c>
      <c r="L84" s="3">
        <v>7.5</v>
      </c>
      <c r="M84" s="6">
        <v>4.8</v>
      </c>
      <c r="N84" s="6">
        <v>10.9</v>
      </c>
      <c r="O84" s="5">
        <v>910800</v>
      </c>
      <c r="P84" s="9">
        <v>586.5</v>
      </c>
      <c r="Q84" s="12">
        <v>327.75</v>
      </c>
      <c r="R84" s="12">
        <v>781.5</v>
      </c>
      <c r="S84" s="9">
        <v>142</v>
      </c>
      <c r="T84" s="9">
        <v>560</v>
      </c>
    </row>
    <row r="85" spans="1:20" ht="12.75">
      <c r="A85" s="2">
        <v>39217</v>
      </c>
      <c r="B85" s="8">
        <v>13344.8</v>
      </c>
      <c r="C85" s="3">
        <v>5.25</v>
      </c>
      <c r="D85" s="17">
        <v>2.57</v>
      </c>
      <c r="E85" s="6">
        <v>6555.5</v>
      </c>
      <c r="F85" s="15">
        <v>1.98</v>
      </c>
      <c r="G85" s="7">
        <v>1.462</v>
      </c>
      <c r="H85" s="3">
        <v>670.2</v>
      </c>
      <c r="I85" s="11">
        <v>66.75</v>
      </c>
      <c r="J85">
        <v>5.5</v>
      </c>
      <c r="K85" s="3">
        <v>3.1</v>
      </c>
      <c r="L85" s="3">
        <v>7.5</v>
      </c>
      <c r="M85" s="6">
        <v>4.8</v>
      </c>
      <c r="N85" s="6">
        <v>10.9</v>
      </c>
      <c r="O85" s="5">
        <v>910800</v>
      </c>
      <c r="P85" s="12">
        <v>583.5</v>
      </c>
      <c r="Q85" s="9">
        <v>329</v>
      </c>
      <c r="R85" s="12">
        <v>773.5</v>
      </c>
      <c r="S85" s="9">
        <v>142.5</v>
      </c>
      <c r="T85" s="9">
        <v>562.5</v>
      </c>
    </row>
    <row r="86" spans="1:20" ht="12.75">
      <c r="A86" s="2">
        <v>39218</v>
      </c>
      <c r="B86" s="8">
        <v>13455.6</v>
      </c>
      <c r="C86" s="3">
        <v>5.25</v>
      </c>
      <c r="D86" s="3">
        <v>2.57</v>
      </c>
      <c r="E86" s="8">
        <v>6568.6</v>
      </c>
      <c r="F86" s="10">
        <v>1.986</v>
      </c>
      <c r="G86" s="7">
        <v>1.46</v>
      </c>
      <c r="H86" s="3">
        <v>668.25</v>
      </c>
      <c r="I86" s="11">
        <v>67.82</v>
      </c>
      <c r="J86">
        <v>5.5</v>
      </c>
      <c r="K86" s="3">
        <v>3.1</v>
      </c>
      <c r="L86" s="3">
        <v>7.5</v>
      </c>
      <c r="M86" s="16">
        <v>4.5</v>
      </c>
      <c r="N86" s="6">
        <v>10.9</v>
      </c>
      <c r="O86" s="5">
        <v>910800</v>
      </c>
      <c r="P86" s="9">
        <v>584</v>
      </c>
      <c r="Q86" s="9">
        <v>329.75</v>
      </c>
      <c r="R86" s="9">
        <v>774</v>
      </c>
      <c r="S86" s="9">
        <v>143.75</v>
      </c>
      <c r="T86" s="12">
        <v>558.5</v>
      </c>
    </row>
    <row r="87" spans="1:20" ht="12.75">
      <c r="A87" s="2">
        <v>39219</v>
      </c>
      <c r="B87" s="8">
        <v>13487.5</v>
      </c>
      <c r="C87" s="3">
        <v>5.25</v>
      </c>
      <c r="D87" s="3">
        <v>2.57</v>
      </c>
      <c r="E87" s="6">
        <v>6559.5</v>
      </c>
      <c r="F87" s="15">
        <v>1.978</v>
      </c>
      <c r="G87" s="10">
        <v>1.463</v>
      </c>
      <c r="H87" s="3">
        <v>667.75</v>
      </c>
      <c r="I87" s="18">
        <v>67.45</v>
      </c>
      <c r="J87">
        <v>5.5</v>
      </c>
      <c r="K87" s="17">
        <v>2.8</v>
      </c>
      <c r="L87" s="3">
        <v>7.5</v>
      </c>
      <c r="M87" s="6">
        <v>4.5</v>
      </c>
      <c r="N87" s="6">
        <v>10.9</v>
      </c>
      <c r="O87" s="13">
        <v>890000</v>
      </c>
      <c r="P87" s="12">
        <v>580.5</v>
      </c>
      <c r="Q87" s="12">
        <v>328.5</v>
      </c>
      <c r="R87" s="12">
        <v>773.5</v>
      </c>
      <c r="S87">
        <v>142.75</v>
      </c>
      <c r="T87" s="12">
        <v>557</v>
      </c>
    </row>
    <row r="88" spans="1:20" ht="12.75">
      <c r="A88" s="2">
        <v>39220</v>
      </c>
      <c r="B88" s="6">
        <v>13476.7</v>
      </c>
      <c r="C88" s="3">
        <v>5.25</v>
      </c>
      <c r="D88" s="3">
        <v>2.57</v>
      </c>
      <c r="E88" s="8">
        <v>6579.3</v>
      </c>
      <c r="F88" s="15">
        <v>1.975</v>
      </c>
      <c r="G88" s="10">
        <v>1.464</v>
      </c>
      <c r="H88" s="3">
        <v>656.75</v>
      </c>
      <c r="I88" s="18">
        <v>69.42</v>
      </c>
      <c r="J88">
        <v>5.5</v>
      </c>
      <c r="K88" s="3">
        <v>2.8</v>
      </c>
      <c r="L88" s="3">
        <v>7.5</v>
      </c>
      <c r="M88" s="6">
        <v>4.5</v>
      </c>
      <c r="N88" s="6">
        <v>10.9</v>
      </c>
      <c r="O88" s="5">
        <v>890000</v>
      </c>
      <c r="P88" s="9">
        <v>581</v>
      </c>
      <c r="Q88" s="12">
        <v>326.5</v>
      </c>
      <c r="R88" s="9">
        <v>781.5</v>
      </c>
      <c r="S88" s="12">
        <v>142.75</v>
      </c>
      <c r="T88" s="9">
        <v>570.5</v>
      </c>
    </row>
    <row r="89" spans="1:20" ht="12.75">
      <c r="A89" s="2">
        <v>39221</v>
      </c>
      <c r="B89" s="8">
        <v>13536.9</v>
      </c>
      <c r="C89" s="3">
        <v>5.25</v>
      </c>
      <c r="D89" s="3">
        <v>2.57</v>
      </c>
      <c r="E89" s="8">
        <v>6640.9</v>
      </c>
      <c r="F89" s="10">
        <v>1.976</v>
      </c>
      <c r="G89" s="7">
        <v>1.463</v>
      </c>
      <c r="H89" s="3">
        <v>657</v>
      </c>
      <c r="I89" s="11">
        <v>69.56</v>
      </c>
      <c r="J89">
        <v>5.5</v>
      </c>
      <c r="K89" s="3">
        <v>2.8</v>
      </c>
      <c r="L89" s="3">
        <v>7.5</v>
      </c>
      <c r="M89" s="6">
        <v>4.5</v>
      </c>
      <c r="N89" s="6">
        <v>10.9</v>
      </c>
      <c r="O89" s="5">
        <v>890000</v>
      </c>
      <c r="P89" s="9">
        <v>584</v>
      </c>
      <c r="Q89" s="12">
        <v>326</v>
      </c>
      <c r="R89" s="12">
        <v>779</v>
      </c>
      <c r="S89" s="9">
        <v>145</v>
      </c>
      <c r="T89" s="9">
        <v>582</v>
      </c>
    </row>
    <row r="90" spans="1:20" ht="12.75">
      <c r="A90" s="2">
        <v>39224</v>
      </c>
      <c r="B90" s="8">
        <v>13542.8</v>
      </c>
      <c r="C90" s="3">
        <v>5.25</v>
      </c>
      <c r="D90" s="3">
        <v>2.57</v>
      </c>
      <c r="E90" s="6">
        <v>6636.8</v>
      </c>
      <c r="F90" s="15">
        <v>1.969</v>
      </c>
      <c r="G90" s="7">
        <v>1.463</v>
      </c>
      <c r="H90" s="11">
        <v>658</v>
      </c>
      <c r="I90" s="11">
        <v>70.66</v>
      </c>
      <c r="J90">
        <v>5.5</v>
      </c>
      <c r="K90" s="3">
        <v>2.8</v>
      </c>
      <c r="L90" s="3">
        <v>7.5</v>
      </c>
      <c r="M90" s="6">
        <v>4.5</v>
      </c>
      <c r="N90" s="6">
        <v>10.9</v>
      </c>
      <c r="O90" s="5">
        <v>890000</v>
      </c>
      <c r="P90" s="12">
        <v>583</v>
      </c>
      <c r="Q90" s="12">
        <v>322</v>
      </c>
      <c r="R90" s="12">
        <v>771</v>
      </c>
      <c r="S90" s="9">
        <v>145.5</v>
      </c>
      <c r="T90" s="9">
        <v>590</v>
      </c>
    </row>
    <row r="91" spans="1:20" ht="12.75">
      <c r="A91" s="2">
        <v>39225</v>
      </c>
      <c r="B91" s="6">
        <v>13539.95</v>
      </c>
      <c r="C91" s="3">
        <v>5.25</v>
      </c>
      <c r="D91" s="3">
        <v>2.57</v>
      </c>
      <c r="E91" s="6">
        <v>6606.6</v>
      </c>
      <c r="F91" s="10">
        <v>1.975</v>
      </c>
      <c r="G91" s="10">
        <v>1.468</v>
      </c>
      <c r="H91" s="11">
        <v>662</v>
      </c>
      <c r="I91" s="18">
        <v>69.95</v>
      </c>
      <c r="J91">
        <v>5.5</v>
      </c>
      <c r="K91" s="3">
        <v>2.8</v>
      </c>
      <c r="L91" s="3">
        <v>7.5</v>
      </c>
      <c r="M91" s="6">
        <v>4.5</v>
      </c>
      <c r="N91" s="6">
        <v>10.9</v>
      </c>
      <c r="O91" s="5">
        <v>890000</v>
      </c>
      <c r="P91" s="12">
        <v>581</v>
      </c>
      <c r="Q91" s="12">
        <v>321.75</v>
      </c>
      <c r="R91" s="12">
        <v>766</v>
      </c>
      <c r="S91" s="12">
        <v>144.5</v>
      </c>
      <c r="T91" s="12">
        <v>581.5</v>
      </c>
    </row>
    <row r="92" spans="1:20" ht="12.75">
      <c r="A92" s="2">
        <v>39226</v>
      </c>
      <c r="B92" s="8">
        <v>13589.4</v>
      </c>
      <c r="C92" s="3">
        <v>5.25</v>
      </c>
      <c r="D92" s="3">
        <v>2.57</v>
      </c>
      <c r="E92" s="8">
        <v>6616.4</v>
      </c>
      <c r="F92" s="10">
        <v>1.988</v>
      </c>
      <c r="G92" s="10">
        <v>1.474</v>
      </c>
      <c r="H92" s="11">
        <v>662.05</v>
      </c>
      <c r="I92" s="11">
        <v>70.36</v>
      </c>
      <c r="J92">
        <v>5.5</v>
      </c>
      <c r="K92" s="3">
        <v>2.8</v>
      </c>
      <c r="L92" s="3">
        <v>7.5</v>
      </c>
      <c r="M92" s="6">
        <v>4.5</v>
      </c>
      <c r="N92" s="6">
        <v>10.9</v>
      </c>
      <c r="O92" s="5">
        <v>890000</v>
      </c>
      <c r="P92" s="9">
        <v>583</v>
      </c>
      <c r="Q92" s="12">
        <v>320.5</v>
      </c>
      <c r="R92" s="9">
        <v>774</v>
      </c>
      <c r="S92" s="9">
        <v>150</v>
      </c>
      <c r="T92" s="12">
        <v>575.5</v>
      </c>
    </row>
    <row r="93" spans="1:20" ht="12.75">
      <c r="A93" s="2">
        <v>39227</v>
      </c>
      <c r="B93" s="6">
        <v>13441.1</v>
      </c>
      <c r="C93" s="3">
        <v>5.25</v>
      </c>
      <c r="D93" s="3">
        <v>2.57</v>
      </c>
      <c r="E93" s="6">
        <v>6565.4</v>
      </c>
      <c r="F93" s="15">
        <v>1.986</v>
      </c>
      <c r="G93" s="10">
        <v>1.478</v>
      </c>
      <c r="H93" s="3">
        <v>659</v>
      </c>
      <c r="I93" s="11">
        <v>71.3</v>
      </c>
      <c r="J93">
        <v>5.5</v>
      </c>
      <c r="K93" s="3">
        <v>2.8</v>
      </c>
      <c r="L93" s="3">
        <v>7.5</v>
      </c>
      <c r="M93" s="6">
        <v>4.5</v>
      </c>
      <c r="N93" s="6">
        <v>10.9</v>
      </c>
      <c r="O93" s="5">
        <v>890000</v>
      </c>
      <c r="P93" s="12">
        <v>576</v>
      </c>
      <c r="Q93" s="12">
        <v>313.75</v>
      </c>
      <c r="R93" s="12">
        <v>754.5</v>
      </c>
      <c r="S93" s="9">
        <v>152</v>
      </c>
      <c r="T93" s="12">
        <v>569</v>
      </c>
    </row>
    <row r="94" spans="1:20" ht="12.75">
      <c r="A94" s="2">
        <v>39228</v>
      </c>
      <c r="B94" s="8">
        <v>13507.3</v>
      </c>
      <c r="C94" s="3">
        <v>5.25</v>
      </c>
      <c r="D94" s="3">
        <v>2.57</v>
      </c>
      <c r="E94" s="8">
        <v>6570.5</v>
      </c>
      <c r="F94" s="15">
        <v>1.985</v>
      </c>
      <c r="G94" s="7">
        <v>1.475</v>
      </c>
      <c r="H94" s="3">
        <v>659</v>
      </c>
      <c r="I94" s="18">
        <v>70.53</v>
      </c>
      <c r="J94">
        <v>5.5</v>
      </c>
      <c r="K94" s="3">
        <v>2.8</v>
      </c>
      <c r="L94" s="3">
        <v>7.5</v>
      </c>
      <c r="M94" s="6">
        <v>4.5</v>
      </c>
      <c r="N94" s="6">
        <v>10.9</v>
      </c>
      <c r="O94" s="5">
        <v>890000</v>
      </c>
      <c r="P94" s="12">
        <v>576</v>
      </c>
      <c r="Q94" s="12">
        <v>312</v>
      </c>
      <c r="R94" s="9">
        <v>756</v>
      </c>
      <c r="S94" s="12">
        <v>151.5</v>
      </c>
      <c r="T94" s="12">
        <v>567.5</v>
      </c>
    </row>
    <row r="95" spans="1:20" ht="12.75">
      <c r="A95" s="2">
        <v>39233</v>
      </c>
      <c r="B95" s="8">
        <v>13515.3</v>
      </c>
      <c r="C95" s="3">
        <v>5.25</v>
      </c>
      <c r="D95" s="3">
        <v>2.57</v>
      </c>
      <c r="E95" s="8">
        <v>6602.1</v>
      </c>
      <c r="F95" s="15">
        <v>1.975</v>
      </c>
      <c r="G95" s="7">
        <v>1.472</v>
      </c>
      <c r="H95" s="3">
        <v>652.65</v>
      </c>
      <c r="I95" s="18">
        <v>67.58</v>
      </c>
      <c r="J95">
        <v>5.5</v>
      </c>
      <c r="K95" s="3">
        <v>2.8</v>
      </c>
      <c r="L95" s="3">
        <v>7.5</v>
      </c>
      <c r="M95" s="6">
        <v>4.5</v>
      </c>
      <c r="N95" s="6">
        <v>10.9</v>
      </c>
      <c r="O95" s="5">
        <v>890000</v>
      </c>
      <c r="P95" s="9">
        <v>576.5</v>
      </c>
      <c r="Q95" s="9">
        <v>317</v>
      </c>
      <c r="R95" s="9">
        <v>756.5</v>
      </c>
      <c r="S95" s="9">
        <v>160</v>
      </c>
      <c r="T95" s="12">
        <v>566.5</v>
      </c>
    </row>
    <row r="96" spans="1:20" ht="12.75">
      <c r="A96" s="2">
        <v>39234</v>
      </c>
      <c r="B96" s="8">
        <v>13623.5</v>
      </c>
      <c r="C96" s="3">
        <v>5.25</v>
      </c>
      <c r="D96" s="3">
        <v>2.57</v>
      </c>
      <c r="E96" s="8">
        <v>6621.4</v>
      </c>
      <c r="F96" s="10">
        <v>1.979</v>
      </c>
      <c r="G96" s="7">
        <v>1.472</v>
      </c>
      <c r="H96" s="11">
        <v>659.1</v>
      </c>
      <c r="I96" s="18">
        <v>67.19</v>
      </c>
      <c r="J96">
        <v>5.5</v>
      </c>
      <c r="K96" s="3">
        <v>2.8</v>
      </c>
      <c r="L96" s="3">
        <v>7.5</v>
      </c>
      <c r="M96" s="6">
        <v>4.5</v>
      </c>
      <c r="N96" s="6">
        <v>10.9</v>
      </c>
      <c r="O96" s="5">
        <v>890000</v>
      </c>
      <c r="P96" s="12">
        <v>575</v>
      </c>
      <c r="Q96" s="12">
        <v>314.25</v>
      </c>
      <c r="R96" s="12">
        <v>756.5</v>
      </c>
      <c r="S96" s="12">
        <v>158</v>
      </c>
      <c r="T96" s="12">
        <v>564.5</v>
      </c>
    </row>
    <row r="97" spans="1:20" ht="12.75">
      <c r="A97" s="2">
        <v>39235</v>
      </c>
      <c r="B97" s="8">
        <v>13642.5</v>
      </c>
      <c r="C97" s="3">
        <v>5.25</v>
      </c>
      <c r="D97" s="3">
        <v>2.57</v>
      </c>
      <c r="E97" s="8">
        <v>6676.7</v>
      </c>
      <c r="F97" s="15">
        <v>1.982</v>
      </c>
      <c r="G97" s="10">
        <v>1.474</v>
      </c>
      <c r="H97" s="11">
        <v>666.5</v>
      </c>
      <c r="I97" s="11">
        <v>69.04</v>
      </c>
      <c r="J97">
        <v>5.5</v>
      </c>
      <c r="K97" s="3">
        <v>2.8</v>
      </c>
      <c r="L97" s="3">
        <v>7.5</v>
      </c>
      <c r="M97" s="6">
        <v>4.5</v>
      </c>
      <c r="N97" s="6">
        <v>10.9</v>
      </c>
      <c r="O97" s="5">
        <v>890000</v>
      </c>
      <c r="P97" s="9">
        <v>577.5</v>
      </c>
      <c r="Q97" s="12">
        <v>313.75</v>
      </c>
      <c r="R97" s="12">
        <v>763.5</v>
      </c>
      <c r="S97" s="9">
        <v>163</v>
      </c>
      <c r="T97" s="9">
        <v>587.5</v>
      </c>
    </row>
    <row r="98" spans="1:20" ht="12.75">
      <c r="A98" s="2">
        <v>39238</v>
      </c>
      <c r="B98" s="8">
        <v>13676.3</v>
      </c>
      <c r="C98" s="3">
        <v>5.25</v>
      </c>
      <c r="D98" s="3">
        <v>2.57</v>
      </c>
      <c r="E98" s="6">
        <v>6664.1</v>
      </c>
      <c r="F98" s="10">
        <v>1.992</v>
      </c>
      <c r="G98" s="10">
        <v>1.477</v>
      </c>
      <c r="H98" s="11">
        <v>671.1</v>
      </c>
      <c r="I98" s="11">
        <v>70.26</v>
      </c>
      <c r="J98">
        <v>5.5</v>
      </c>
      <c r="K98" s="3">
        <v>2.8</v>
      </c>
      <c r="L98" s="3">
        <v>7.5</v>
      </c>
      <c r="M98" s="6">
        <v>4.5</v>
      </c>
      <c r="N98" s="16">
        <v>11.1</v>
      </c>
      <c r="O98" s="5">
        <v>890000</v>
      </c>
      <c r="P98" s="12">
        <v>575.5</v>
      </c>
      <c r="Q98" s="12">
        <v>311.75</v>
      </c>
      <c r="R98" s="9">
        <v>765</v>
      </c>
      <c r="S98" s="12">
        <v>161.75</v>
      </c>
      <c r="T98" s="12">
        <v>570.5</v>
      </c>
    </row>
    <row r="99" spans="1:20" ht="12.75">
      <c r="A99" s="2">
        <v>39239</v>
      </c>
      <c r="B99" s="6">
        <v>13595.5</v>
      </c>
      <c r="C99" s="3">
        <v>5.25</v>
      </c>
      <c r="D99" s="3">
        <v>2.57</v>
      </c>
      <c r="E99" s="6">
        <v>6632.8</v>
      </c>
      <c r="F99" s="15">
        <v>1.994</v>
      </c>
      <c r="G99" s="7">
        <v>1.474</v>
      </c>
      <c r="H99" s="3">
        <v>666.5</v>
      </c>
      <c r="I99" s="11">
        <v>70.9</v>
      </c>
      <c r="J99">
        <v>5.5</v>
      </c>
      <c r="K99" s="3">
        <v>2.8</v>
      </c>
      <c r="L99" s="3">
        <v>7.5</v>
      </c>
      <c r="M99" s="6">
        <v>4.5</v>
      </c>
      <c r="N99" s="6">
        <v>11.1</v>
      </c>
      <c r="O99" s="5">
        <v>890000</v>
      </c>
      <c r="P99" s="9">
        <v>579</v>
      </c>
      <c r="Q99" s="12">
        <v>307.5</v>
      </c>
      <c r="R99" s="12">
        <v>757</v>
      </c>
      <c r="S99" s="12">
        <v>161.25</v>
      </c>
      <c r="T99" s="12">
        <v>566.5</v>
      </c>
    </row>
    <row r="100" spans="1:20" ht="12.75">
      <c r="A100" s="2">
        <v>39240</v>
      </c>
      <c r="B100" s="6">
        <v>13465.7</v>
      </c>
      <c r="C100" s="3">
        <v>5.25</v>
      </c>
      <c r="D100" s="3">
        <v>2.57</v>
      </c>
      <c r="E100" s="6">
        <v>6522.7</v>
      </c>
      <c r="F100" s="15">
        <v>1.992</v>
      </c>
      <c r="G100" s="10">
        <v>1.476</v>
      </c>
      <c r="H100" s="11">
        <v>669.7</v>
      </c>
      <c r="I100" s="11">
        <v>71.01</v>
      </c>
      <c r="J100">
        <v>5.5</v>
      </c>
      <c r="K100" s="3">
        <v>2.8</v>
      </c>
      <c r="L100" s="3">
        <v>7.5</v>
      </c>
      <c r="M100" s="6">
        <v>4.5</v>
      </c>
      <c r="N100" s="16">
        <v>10.9</v>
      </c>
      <c r="O100" s="5">
        <v>890000</v>
      </c>
      <c r="P100" s="12">
        <v>570.5</v>
      </c>
      <c r="Q100" s="12">
        <v>298</v>
      </c>
      <c r="R100" s="12">
        <v>743</v>
      </c>
      <c r="S100" s="12">
        <v>155</v>
      </c>
      <c r="T100" s="12">
        <v>559</v>
      </c>
    </row>
    <row r="101" spans="1:20" ht="12.75">
      <c r="A101" s="2">
        <v>39241</v>
      </c>
      <c r="B101" s="6">
        <v>13307.5</v>
      </c>
      <c r="C101" s="3">
        <v>5.25</v>
      </c>
      <c r="D101" s="3">
        <v>2.57</v>
      </c>
      <c r="E101" s="6">
        <v>6505.1</v>
      </c>
      <c r="F101" s="15">
        <v>1.978</v>
      </c>
      <c r="G101" s="7">
        <v>1.472</v>
      </c>
      <c r="H101" s="3">
        <v>668.75</v>
      </c>
      <c r="I101" s="11">
        <v>71.15</v>
      </c>
      <c r="J101">
        <v>5.5</v>
      </c>
      <c r="K101" s="3">
        <v>2.8</v>
      </c>
      <c r="L101" s="3">
        <v>7.5</v>
      </c>
      <c r="M101" s="6">
        <v>4.5</v>
      </c>
      <c r="N101" s="16">
        <v>10.6</v>
      </c>
      <c r="O101" s="5">
        <v>890000</v>
      </c>
      <c r="P101" s="12">
        <v>569</v>
      </c>
      <c r="Q101" s="12">
        <v>293</v>
      </c>
      <c r="R101" s="12">
        <v>728</v>
      </c>
      <c r="S101" s="9">
        <v>158.5</v>
      </c>
      <c r="T101" s="9">
        <v>562</v>
      </c>
    </row>
    <row r="102" spans="1:20" ht="12.75">
      <c r="A102" s="2">
        <v>39242</v>
      </c>
      <c r="B102" s="8">
        <v>13424.3</v>
      </c>
      <c r="C102" s="3">
        <v>5.25</v>
      </c>
      <c r="D102" s="3">
        <v>2.57</v>
      </c>
      <c r="E102" s="6">
        <v>6505.1</v>
      </c>
      <c r="F102" s="15">
        <v>1.965</v>
      </c>
      <c r="G102" s="7">
        <v>1.471</v>
      </c>
      <c r="H102" s="3">
        <v>655.25</v>
      </c>
      <c r="I102" s="18">
        <v>69.26</v>
      </c>
      <c r="J102">
        <v>5.5</v>
      </c>
      <c r="K102" s="3">
        <v>2.8</v>
      </c>
      <c r="L102" s="3">
        <v>7.5</v>
      </c>
      <c r="M102" s="6">
        <v>4.5</v>
      </c>
      <c r="N102" s="14">
        <v>10.6</v>
      </c>
      <c r="O102" s="5">
        <v>890000</v>
      </c>
      <c r="P102" s="12">
        <v>567.5</v>
      </c>
      <c r="Q102" s="12">
        <v>291.25</v>
      </c>
      <c r="R102" s="12">
        <v>722</v>
      </c>
      <c r="S102" s="9">
        <v>160</v>
      </c>
      <c r="T102" s="9">
        <v>563</v>
      </c>
    </row>
    <row r="103" spans="1:20" ht="12.75">
      <c r="A103" s="2">
        <v>39245</v>
      </c>
      <c r="B103" s="8">
        <v>13424.9</v>
      </c>
      <c r="C103" s="3">
        <v>5.25</v>
      </c>
      <c r="D103" s="3">
        <v>2.57</v>
      </c>
      <c r="E103" s="8">
        <v>6567.5</v>
      </c>
      <c r="F103" s="10">
        <v>1.969</v>
      </c>
      <c r="G103" s="10">
        <v>1.474</v>
      </c>
      <c r="H103" s="3">
        <v>650.3</v>
      </c>
      <c r="I103" s="18">
        <v>69.22</v>
      </c>
      <c r="J103">
        <v>5.5</v>
      </c>
      <c r="K103" s="3">
        <v>2.8</v>
      </c>
      <c r="L103" s="3">
        <v>7.5</v>
      </c>
      <c r="M103" s="6">
        <v>4.5</v>
      </c>
      <c r="N103" s="14">
        <v>10.6</v>
      </c>
      <c r="O103" s="5">
        <v>890000</v>
      </c>
      <c r="P103" s="9">
        <v>572</v>
      </c>
      <c r="Q103" s="9">
        <v>298</v>
      </c>
      <c r="R103" s="9">
        <v>731.5</v>
      </c>
      <c r="S103" s="12">
        <v>158</v>
      </c>
      <c r="T103" s="9">
        <v>569</v>
      </c>
    </row>
    <row r="104" spans="1:20" ht="12.75">
      <c r="A104" s="2">
        <v>39246</v>
      </c>
      <c r="B104" s="6">
        <v>13295</v>
      </c>
      <c r="C104" s="3">
        <v>5.25</v>
      </c>
      <c r="D104" s="3">
        <v>2.57</v>
      </c>
      <c r="E104" s="6">
        <v>6520.4</v>
      </c>
      <c r="F104" s="10">
        <v>1.975</v>
      </c>
      <c r="G104" s="10">
        <v>1.482</v>
      </c>
      <c r="H104" s="3">
        <v>647.25</v>
      </c>
      <c r="I104" s="11">
        <v>68.56</v>
      </c>
      <c r="J104">
        <v>5.5</v>
      </c>
      <c r="K104" s="3">
        <v>2.8</v>
      </c>
      <c r="L104" s="3">
        <v>7.5</v>
      </c>
      <c r="M104" s="16">
        <v>4.3</v>
      </c>
      <c r="N104" s="14">
        <v>10.6</v>
      </c>
      <c r="O104" s="5">
        <v>890000</v>
      </c>
      <c r="P104" s="12">
        <v>566</v>
      </c>
      <c r="Q104" s="12">
        <v>295.5</v>
      </c>
      <c r="R104" s="12">
        <v>728</v>
      </c>
      <c r="S104" s="12">
        <v>157</v>
      </c>
      <c r="T104" s="12">
        <v>568.5</v>
      </c>
    </row>
    <row r="105" spans="1:20" ht="12.75">
      <c r="A105" s="2">
        <v>39247</v>
      </c>
      <c r="B105" s="8">
        <v>13483.2</v>
      </c>
      <c r="C105" s="3">
        <v>5.25</v>
      </c>
      <c r="D105" s="3">
        <v>2.57</v>
      </c>
      <c r="E105" s="8">
        <v>6559.6</v>
      </c>
      <c r="F105" s="15">
        <v>1.973</v>
      </c>
      <c r="G105" s="10">
        <v>1.484</v>
      </c>
      <c r="H105" s="11">
        <v>647.65</v>
      </c>
      <c r="I105" s="11">
        <v>70.19</v>
      </c>
      <c r="J105">
        <v>5.5</v>
      </c>
      <c r="K105" s="3">
        <v>2.8</v>
      </c>
      <c r="L105" s="3">
        <v>7.5</v>
      </c>
      <c r="M105" s="6">
        <v>4.3</v>
      </c>
      <c r="N105" s="14">
        <v>10.6</v>
      </c>
      <c r="O105" s="13">
        <v>880400</v>
      </c>
      <c r="P105" s="9">
        <v>567.5</v>
      </c>
      <c r="Q105" s="9">
        <v>297.75</v>
      </c>
      <c r="R105" s="9">
        <v>732</v>
      </c>
      <c r="S105" s="9">
        <v>158.25</v>
      </c>
      <c r="T105" s="9">
        <v>574</v>
      </c>
    </row>
    <row r="106" spans="1:20" ht="12.75">
      <c r="A106" s="2">
        <v>39248</v>
      </c>
      <c r="B106" s="8">
        <v>13553.7</v>
      </c>
      <c r="C106" s="3">
        <v>5.25</v>
      </c>
      <c r="D106" s="17">
        <v>2.69</v>
      </c>
      <c r="E106" s="6">
        <v>6649.9</v>
      </c>
      <c r="F106" s="15">
        <v>1.969</v>
      </c>
      <c r="G106" s="7">
        <v>1.48</v>
      </c>
      <c r="H106" s="11">
        <v>653.25</v>
      </c>
      <c r="I106" s="11">
        <v>71.21</v>
      </c>
      <c r="J106">
        <v>5.5</v>
      </c>
      <c r="K106" s="3">
        <v>2.8</v>
      </c>
      <c r="L106" s="3">
        <v>7.5</v>
      </c>
      <c r="M106" s="6">
        <v>4.3</v>
      </c>
      <c r="N106" s="14">
        <v>10.6</v>
      </c>
      <c r="O106" s="5">
        <v>880400</v>
      </c>
      <c r="P106" s="9">
        <v>574.5</v>
      </c>
      <c r="Q106" s="9">
        <v>300.75</v>
      </c>
      <c r="R106" s="9">
        <v>740.5</v>
      </c>
      <c r="S106" s="9">
        <v>162.25</v>
      </c>
      <c r="T106" s="9">
        <v>582.5</v>
      </c>
    </row>
    <row r="107" spans="1:20" ht="12.75">
      <c r="A107" s="2">
        <v>39249</v>
      </c>
      <c r="B107" s="8">
        <v>13639.4</v>
      </c>
      <c r="C107" s="3">
        <v>5.25</v>
      </c>
      <c r="D107" s="3">
        <v>2.69</v>
      </c>
      <c r="E107" s="8">
        <v>6732.4</v>
      </c>
      <c r="F107" s="15">
        <v>1.969</v>
      </c>
      <c r="G107" s="7">
        <v>1.48</v>
      </c>
      <c r="H107" s="3">
        <v>653.1</v>
      </c>
      <c r="I107" s="11">
        <v>71.75</v>
      </c>
      <c r="J107">
        <v>5.5</v>
      </c>
      <c r="K107" s="3">
        <v>2.8</v>
      </c>
      <c r="L107" s="3">
        <v>7.5</v>
      </c>
      <c r="M107" s="6">
        <v>4.3</v>
      </c>
      <c r="N107" s="14">
        <v>10.6</v>
      </c>
      <c r="O107" s="5">
        <v>880400</v>
      </c>
      <c r="P107" s="9">
        <v>579</v>
      </c>
      <c r="Q107" s="9">
        <v>308.5</v>
      </c>
      <c r="R107" s="9">
        <v>753</v>
      </c>
      <c r="S107" s="9">
        <v>163.25</v>
      </c>
      <c r="T107" s="9">
        <v>589</v>
      </c>
    </row>
    <row r="108" spans="1:20" ht="12.75">
      <c r="A108" s="2">
        <v>39252</v>
      </c>
      <c r="B108" s="6">
        <v>13638.6</v>
      </c>
      <c r="C108" s="3">
        <v>5.25</v>
      </c>
      <c r="D108" s="3">
        <v>2.69</v>
      </c>
      <c r="E108" s="6">
        <v>6703.5</v>
      </c>
      <c r="F108" s="10">
        <v>1.983</v>
      </c>
      <c r="G108" s="7">
        <v>1.479</v>
      </c>
      <c r="H108" s="11">
        <v>656</v>
      </c>
      <c r="I108" s="11">
        <v>71.88</v>
      </c>
      <c r="J108">
        <v>5.5</v>
      </c>
      <c r="K108" s="3">
        <v>2.8</v>
      </c>
      <c r="L108" s="3">
        <v>7.5</v>
      </c>
      <c r="M108" s="6">
        <v>4.3</v>
      </c>
      <c r="N108" s="14">
        <v>10.6</v>
      </c>
      <c r="O108" s="5">
        <v>880400</v>
      </c>
      <c r="P108" s="12">
        <v>578</v>
      </c>
      <c r="Q108" s="12">
        <v>305</v>
      </c>
      <c r="R108" s="9">
        <v>756.5</v>
      </c>
      <c r="S108" s="12">
        <v>162</v>
      </c>
      <c r="T108" s="12">
        <v>583.5</v>
      </c>
    </row>
    <row r="109" spans="1:20" ht="12.75">
      <c r="A109" s="2">
        <v>39253</v>
      </c>
      <c r="B109" s="6">
        <v>13593.7</v>
      </c>
      <c r="C109" s="3">
        <v>5.25</v>
      </c>
      <c r="D109" s="3">
        <v>2.69</v>
      </c>
      <c r="E109" s="6">
        <v>6650.2</v>
      </c>
      <c r="F109" s="10">
        <v>1.988</v>
      </c>
      <c r="G109" s="10">
        <v>1.482</v>
      </c>
      <c r="H109" s="11">
        <v>656.3</v>
      </c>
      <c r="I109" s="18">
        <v>71.74</v>
      </c>
      <c r="J109">
        <v>5.5</v>
      </c>
      <c r="K109" s="3">
        <v>2.8</v>
      </c>
      <c r="L109" s="3">
        <v>7.5</v>
      </c>
      <c r="M109" s="6">
        <v>4.3</v>
      </c>
      <c r="N109" s="14">
        <v>10.6</v>
      </c>
      <c r="O109" s="5">
        <v>880400</v>
      </c>
      <c r="P109" s="12">
        <v>574.5</v>
      </c>
      <c r="Q109" s="12">
        <v>301.25</v>
      </c>
      <c r="R109" s="12">
        <v>750.5</v>
      </c>
      <c r="S109" s="12">
        <v>159</v>
      </c>
      <c r="T109" s="12">
        <v>583.5</v>
      </c>
    </row>
    <row r="110" spans="1:20" ht="12.75">
      <c r="A110" s="2">
        <v>39254</v>
      </c>
      <c r="B110" s="8">
        <v>13680</v>
      </c>
      <c r="C110" s="3">
        <v>5.25</v>
      </c>
      <c r="D110" s="3">
        <v>2.69</v>
      </c>
      <c r="E110" s="6">
        <v>6649.3</v>
      </c>
      <c r="F110" s="15">
        <v>1.994</v>
      </c>
      <c r="G110" s="10">
        <v>1.485</v>
      </c>
      <c r="H110" s="11">
        <v>657.7</v>
      </c>
      <c r="I110" s="18">
        <v>69.74</v>
      </c>
      <c r="J110">
        <v>5.5</v>
      </c>
      <c r="K110" s="17">
        <v>2.5</v>
      </c>
      <c r="L110" s="3">
        <v>7.5</v>
      </c>
      <c r="M110" s="6">
        <v>4.3</v>
      </c>
      <c r="N110" s="14">
        <v>10.6</v>
      </c>
      <c r="O110" s="5">
        <v>880400</v>
      </c>
      <c r="P110" s="9">
        <v>576.5</v>
      </c>
      <c r="Q110" s="12">
        <v>292.75</v>
      </c>
      <c r="R110" s="9">
        <v>751</v>
      </c>
      <c r="S110" s="12">
        <v>159</v>
      </c>
      <c r="T110" s="12">
        <v>581.5</v>
      </c>
    </row>
    <row r="111" spans="1:20" ht="12.75">
      <c r="A111" s="2">
        <v>39255</v>
      </c>
      <c r="B111" s="6">
        <v>13545.8</v>
      </c>
      <c r="C111" s="3">
        <v>5.25</v>
      </c>
      <c r="D111" s="3">
        <v>2.69</v>
      </c>
      <c r="E111" s="6">
        <v>6596</v>
      </c>
      <c r="F111" s="15">
        <v>1.992</v>
      </c>
      <c r="G111" s="10">
        <v>1.487</v>
      </c>
      <c r="H111" s="3">
        <v>650.5</v>
      </c>
      <c r="I111" s="11">
        <v>71.5</v>
      </c>
      <c r="J111">
        <v>5.5</v>
      </c>
      <c r="K111" s="3">
        <v>2.5</v>
      </c>
      <c r="L111" s="3">
        <v>7.5</v>
      </c>
      <c r="M111" s="6">
        <v>4.3</v>
      </c>
      <c r="N111" s="14">
        <v>10.6</v>
      </c>
      <c r="O111" s="5">
        <v>880400</v>
      </c>
      <c r="P111" s="12">
        <v>573</v>
      </c>
      <c r="Q111" s="12">
        <v>287</v>
      </c>
      <c r="R111" s="12">
        <v>738.5</v>
      </c>
      <c r="S111" s="12">
        <v>156.75</v>
      </c>
      <c r="T111" s="12">
        <v>579.5</v>
      </c>
    </row>
    <row r="112" spans="1:20" ht="12.75">
      <c r="A112" s="2">
        <v>39256</v>
      </c>
      <c r="B112" s="6">
        <v>13404.7</v>
      </c>
      <c r="C112" s="3">
        <v>5.25</v>
      </c>
      <c r="D112" s="3">
        <v>2.69</v>
      </c>
      <c r="E112" s="6">
        <v>6567.4</v>
      </c>
      <c r="F112" s="10">
        <v>1.998</v>
      </c>
      <c r="G112" s="7">
        <v>1.486</v>
      </c>
      <c r="H112" s="11">
        <v>652.85</v>
      </c>
      <c r="I112" s="18">
        <v>71.06</v>
      </c>
      <c r="J112">
        <v>5.5</v>
      </c>
      <c r="K112" s="3">
        <v>2.5</v>
      </c>
      <c r="L112" s="3">
        <v>7.5</v>
      </c>
      <c r="M112" s="6">
        <v>4.3</v>
      </c>
      <c r="N112" s="14">
        <v>10.6</v>
      </c>
      <c r="O112" s="5">
        <v>880400</v>
      </c>
      <c r="P112" s="12">
        <v>568.5</v>
      </c>
      <c r="Q112" s="9">
        <v>292</v>
      </c>
      <c r="R112" s="12">
        <v>728.5</v>
      </c>
      <c r="S112" s="12">
        <v>156</v>
      </c>
      <c r="T112" s="12">
        <v>583.5</v>
      </c>
    </row>
    <row r="113" spans="1:20" ht="12.75">
      <c r="A113" s="2">
        <v>39259</v>
      </c>
      <c r="B113" s="8">
        <v>13459.6</v>
      </c>
      <c r="C113" s="3">
        <v>5.25</v>
      </c>
      <c r="D113" s="3">
        <v>2.69</v>
      </c>
      <c r="E113" s="8">
        <v>6588.4</v>
      </c>
      <c r="F113" s="15">
        <v>1.997</v>
      </c>
      <c r="G113" s="7">
        <v>1.485</v>
      </c>
      <c r="H113" s="3">
        <v>652.85</v>
      </c>
      <c r="I113" s="11">
        <v>70.5</v>
      </c>
      <c r="J113">
        <v>5.5</v>
      </c>
      <c r="K113" s="3">
        <v>2.5</v>
      </c>
      <c r="L113" s="3">
        <v>7.5</v>
      </c>
      <c r="M113" s="6">
        <v>4.3</v>
      </c>
      <c r="N113" s="14">
        <v>10.6</v>
      </c>
      <c r="O113" s="5">
        <v>880400</v>
      </c>
      <c r="P113" s="12">
        <v>567</v>
      </c>
      <c r="Q113" s="9">
        <v>294.25</v>
      </c>
      <c r="R113" s="9">
        <v>734</v>
      </c>
      <c r="S113" s="9">
        <v>157.5</v>
      </c>
      <c r="T113" s="9">
        <v>589</v>
      </c>
    </row>
    <row r="114" spans="1:20" ht="12.75">
      <c r="A114" s="2">
        <v>39260</v>
      </c>
      <c r="B114" s="6">
        <v>13337.6</v>
      </c>
      <c r="C114" s="3">
        <v>5.25</v>
      </c>
      <c r="D114" s="3">
        <v>2.69</v>
      </c>
      <c r="E114" s="6">
        <v>6559.3</v>
      </c>
      <c r="F114" s="10">
        <v>1.999</v>
      </c>
      <c r="G114" s="7">
        <v>1.485</v>
      </c>
      <c r="H114" s="3">
        <v>652.85</v>
      </c>
      <c r="I114" s="18">
        <v>70.33</v>
      </c>
      <c r="J114">
        <v>5.5</v>
      </c>
      <c r="K114" s="3">
        <v>2.5</v>
      </c>
      <c r="L114" s="3">
        <v>7.5</v>
      </c>
      <c r="M114" s="6">
        <v>4.3</v>
      </c>
      <c r="N114" s="14">
        <v>10.6</v>
      </c>
      <c r="O114" s="5">
        <v>880400</v>
      </c>
      <c r="P114" s="12">
        <v>560</v>
      </c>
      <c r="Q114" s="12">
        <v>290</v>
      </c>
      <c r="R114" s="12">
        <v>719</v>
      </c>
      <c r="S114" s="9">
        <v>160</v>
      </c>
      <c r="T114" s="9">
        <v>589.5</v>
      </c>
    </row>
    <row r="115" spans="1:20" ht="12.75">
      <c r="A115" s="2">
        <v>39261</v>
      </c>
      <c r="B115" s="6">
        <v>13298.7</v>
      </c>
      <c r="C115" s="3">
        <v>5.25</v>
      </c>
      <c r="D115" s="3">
        <v>2.69</v>
      </c>
      <c r="E115" s="6">
        <v>6527.6</v>
      </c>
      <c r="F115" s="15">
        <v>1.997</v>
      </c>
      <c r="G115" s="10">
        <v>1.486</v>
      </c>
      <c r="H115" s="3">
        <v>642.1</v>
      </c>
      <c r="I115" s="11">
        <v>70.66</v>
      </c>
      <c r="J115">
        <v>5.5</v>
      </c>
      <c r="K115" s="3">
        <v>2.5</v>
      </c>
      <c r="L115" s="3">
        <v>7.5</v>
      </c>
      <c r="M115" s="6">
        <v>4.3</v>
      </c>
      <c r="N115" s="14">
        <v>10.6</v>
      </c>
      <c r="O115" s="5">
        <v>880400</v>
      </c>
      <c r="P115" s="12">
        <v>551.5</v>
      </c>
      <c r="Q115" s="9">
        <v>296</v>
      </c>
      <c r="R115" s="12">
        <v>702.5</v>
      </c>
      <c r="S115" s="9">
        <v>163.75</v>
      </c>
      <c r="T115" s="12">
        <v>587.5</v>
      </c>
    </row>
    <row r="116" spans="1:20" ht="12.75">
      <c r="A116" s="2">
        <v>39262</v>
      </c>
      <c r="B116" s="8">
        <v>13422.2</v>
      </c>
      <c r="C116" s="3">
        <v>5.25</v>
      </c>
      <c r="D116" s="3">
        <v>2.69</v>
      </c>
      <c r="E116" s="8">
        <v>6571.3</v>
      </c>
      <c r="F116" s="10">
        <v>2.001</v>
      </c>
      <c r="G116" s="10">
        <v>1.487</v>
      </c>
      <c r="H116" s="11">
        <v>647.25</v>
      </c>
      <c r="I116" s="11">
        <v>70.91</v>
      </c>
      <c r="J116">
        <v>5.5</v>
      </c>
      <c r="K116" s="3">
        <v>2.5</v>
      </c>
      <c r="L116" s="3">
        <v>7.5</v>
      </c>
      <c r="M116" s="6">
        <v>4.3</v>
      </c>
      <c r="N116" s="14">
        <v>10.6</v>
      </c>
      <c r="O116" s="5">
        <v>880400</v>
      </c>
      <c r="P116" s="9">
        <v>553.5</v>
      </c>
      <c r="Q116" s="9">
        <v>300.5</v>
      </c>
      <c r="R116" s="9">
        <v>710</v>
      </c>
      <c r="S116" s="9">
        <v>166.25</v>
      </c>
      <c r="T116" s="9">
        <v>599</v>
      </c>
    </row>
    <row r="117" spans="1:20" ht="12.75">
      <c r="A117" s="2">
        <v>39263</v>
      </c>
      <c r="B117" s="8">
        <v>13467.3</v>
      </c>
      <c r="C117" s="3">
        <v>5.25</v>
      </c>
      <c r="D117" s="3">
        <v>2.69</v>
      </c>
      <c r="E117" s="8">
        <v>6607.9</v>
      </c>
      <c r="F117" s="10">
        <v>2.007</v>
      </c>
      <c r="G117" s="7">
        <v>1.484</v>
      </c>
      <c r="H117" s="11">
        <v>650.5</v>
      </c>
      <c r="I117" s="11">
        <v>71.17</v>
      </c>
      <c r="J117">
        <v>5.5</v>
      </c>
      <c r="K117" s="3">
        <v>2.5</v>
      </c>
      <c r="L117" s="3">
        <v>7.5</v>
      </c>
      <c r="M117" s="6">
        <v>4.3</v>
      </c>
      <c r="N117" s="14">
        <v>10.6</v>
      </c>
      <c r="O117" s="5">
        <v>880400</v>
      </c>
      <c r="P117" s="9">
        <v>556</v>
      </c>
      <c r="Q117" s="9">
        <v>302.5</v>
      </c>
      <c r="R117" s="9">
        <v>714</v>
      </c>
      <c r="S117" s="9">
        <v>167.75</v>
      </c>
      <c r="T117" s="9">
        <v>603</v>
      </c>
    </row>
    <row r="118" spans="1:20" ht="12.75">
      <c r="A118" s="2">
        <v>39266</v>
      </c>
      <c r="B118" s="8">
        <v>13503.2</v>
      </c>
      <c r="C118" s="3">
        <v>5.25</v>
      </c>
      <c r="D118" s="3">
        <v>2.69</v>
      </c>
      <c r="E118" s="6">
        <v>6590.6</v>
      </c>
      <c r="F118" s="10">
        <v>2.016</v>
      </c>
      <c r="G118" s="7">
        <v>1.479</v>
      </c>
      <c r="H118" s="11">
        <v>654.75</v>
      </c>
      <c r="I118" s="11">
        <v>71.47</v>
      </c>
      <c r="J118">
        <v>5.5</v>
      </c>
      <c r="K118" s="3">
        <v>2.5</v>
      </c>
      <c r="L118" s="3">
        <v>7.5</v>
      </c>
      <c r="M118" s="6">
        <v>4.3</v>
      </c>
      <c r="N118" s="14">
        <v>10.6</v>
      </c>
      <c r="O118" s="5">
        <v>880400</v>
      </c>
      <c r="P118" s="12">
        <v>550</v>
      </c>
      <c r="Q118" s="12">
        <v>295.5</v>
      </c>
      <c r="R118" s="12">
        <v>705.5</v>
      </c>
      <c r="S118" s="12">
        <v>165</v>
      </c>
      <c r="T118" s="9">
        <v>604</v>
      </c>
    </row>
    <row r="119" spans="1:20" ht="12.75">
      <c r="A119" s="2">
        <v>39267</v>
      </c>
      <c r="B119" s="8">
        <v>13577.3</v>
      </c>
      <c r="C119" s="3">
        <v>5.25</v>
      </c>
      <c r="D119" s="3">
        <v>2.69</v>
      </c>
      <c r="E119" s="8">
        <v>6639.8</v>
      </c>
      <c r="F119" s="10">
        <v>2.017</v>
      </c>
      <c r="G119" s="10">
        <v>1.481</v>
      </c>
      <c r="H119" s="3">
        <v>654.25</v>
      </c>
      <c r="I119" s="11">
        <v>72.48</v>
      </c>
      <c r="J119">
        <v>5.5</v>
      </c>
      <c r="K119" s="3">
        <v>2.5</v>
      </c>
      <c r="L119" s="3">
        <v>7.5</v>
      </c>
      <c r="M119" s="6">
        <v>4.3</v>
      </c>
      <c r="N119" s="14">
        <v>10.6</v>
      </c>
      <c r="O119" s="5">
        <v>880400</v>
      </c>
      <c r="P119" s="9">
        <v>554</v>
      </c>
      <c r="Q119" s="9">
        <v>301</v>
      </c>
      <c r="R119" s="9">
        <v>725</v>
      </c>
      <c r="S119" s="9">
        <v>165.75</v>
      </c>
      <c r="T119" s="9">
        <v>605.5</v>
      </c>
    </row>
    <row r="120" spans="1:20" ht="12.75">
      <c r="A120" s="2">
        <v>39268</v>
      </c>
      <c r="B120" s="6"/>
      <c r="C120" s="3">
        <v>5.25</v>
      </c>
      <c r="D120" s="3">
        <v>2.69</v>
      </c>
      <c r="E120" s="8">
        <v>6673.1</v>
      </c>
      <c r="F120" s="15">
        <v>2.016</v>
      </c>
      <c r="G120" s="7">
        <v>1.48</v>
      </c>
      <c r="H120" s="3">
        <v>654.25</v>
      </c>
      <c r="I120" s="11">
        <v>73.1</v>
      </c>
      <c r="J120" s="19">
        <v>5.75</v>
      </c>
      <c r="K120" s="3">
        <v>2.5</v>
      </c>
      <c r="L120" s="3">
        <v>7.5</v>
      </c>
      <c r="M120" s="6">
        <v>4.3</v>
      </c>
      <c r="N120" s="16">
        <v>10.7</v>
      </c>
      <c r="O120" s="5">
        <v>880400</v>
      </c>
      <c r="P120" s="12">
        <v>553.5</v>
      </c>
      <c r="Q120" s="9">
        <v>301.5</v>
      </c>
      <c r="R120" s="9">
        <v>732</v>
      </c>
      <c r="S120" s="9">
        <v>166</v>
      </c>
      <c r="T120" s="9">
        <v>609.5</v>
      </c>
    </row>
    <row r="121" spans="1:20" ht="12.75">
      <c r="A121" s="2">
        <v>39269</v>
      </c>
      <c r="B121" s="6">
        <v>13565.8</v>
      </c>
      <c r="C121" s="3">
        <v>5.25</v>
      </c>
      <c r="D121" s="3">
        <v>2.69</v>
      </c>
      <c r="E121" s="6">
        <v>6635.2</v>
      </c>
      <c r="F121" s="15">
        <v>2.012</v>
      </c>
      <c r="G121" s="7">
        <v>1.48</v>
      </c>
      <c r="H121" s="3">
        <v>651</v>
      </c>
      <c r="I121" s="11">
        <v>74.08</v>
      </c>
      <c r="J121">
        <v>5.75</v>
      </c>
      <c r="K121" s="3">
        <v>2.5</v>
      </c>
      <c r="L121" s="17">
        <v>7.75</v>
      </c>
      <c r="M121" s="6">
        <v>4.3</v>
      </c>
      <c r="N121" s="14">
        <v>10.7</v>
      </c>
      <c r="O121" s="5">
        <v>880400</v>
      </c>
      <c r="P121" s="9">
        <v>560</v>
      </c>
      <c r="Q121" s="9">
        <v>305.5</v>
      </c>
      <c r="R121" s="12">
        <v>724</v>
      </c>
      <c r="S121" s="12">
        <v>162</v>
      </c>
      <c r="T121" s="12">
        <v>604</v>
      </c>
    </row>
    <row r="122" spans="1:20" ht="12.75">
      <c r="A122" s="2">
        <v>39270</v>
      </c>
      <c r="B122" s="8">
        <v>13611.6</v>
      </c>
      <c r="C122" s="3">
        <v>5.25</v>
      </c>
      <c r="D122" s="3">
        <v>2.69</v>
      </c>
      <c r="E122" s="8">
        <v>6690.1</v>
      </c>
      <c r="F122" s="15">
        <v>2.011</v>
      </c>
      <c r="G122" s="7">
        <v>1.476</v>
      </c>
      <c r="H122" s="3">
        <v>648.75</v>
      </c>
      <c r="I122" s="11">
        <v>75.75</v>
      </c>
      <c r="J122">
        <v>5.75</v>
      </c>
      <c r="K122" s="3">
        <v>2.5</v>
      </c>
      <c r="L122" s="3">
        <v>7.75</v>
      </c>
      <c r="M122" s="6">
        <v>4.3</v>
      </c>
      <c r="N122" s="14">
        <v>10.7</v>
      </c>
      <c r="O122" s="5">
        <v>880400</v>
      </c>
      <c r="P122" s="9">
        <v>562</v>
      </c>
      <c r="Q122" s="12">
        <v>305</v>
      </c>
      <c r="R122" s="9">
        <v>729.5</v>
      </c>
      <c r="S122" s="9">
        <v>163.5</v>
      </c>
      <c r="T122" s="9">
        <v>610.5</v>
      </c>
    </row>
    <row r="123" spans="1:20" ht="12.75">
      <c r="A123" s="2">
        <v>39273</v>
      </c>
      <c r="B123" s="8">
        <v>13649.9</v>
      </c>
      <c r="C123" s="3">
        <v>5.25</v>
      </c>
      <c r="D123" s="3">
        <v>2.69</v>
      </c>
      <c r="E123" s="8">
        <v>6712.7</v>
      </c>
      <c r="F123" s="10">
        <v>2.016</v>
      </c>
      <c r="G123" s="10">
        <v>1.48</v>
      </c>
      <c r="H123" s="11">
        <v>661.25</v>
      </c>
      <c r="I123" s="11">
        <v>76.18</v>
      </c>
      <c r="J123">
        <v>5.75</v>
      </c>
      <c r="K123" s="3">
        <v>2.5</v>
      </c>
      <c r="L123" s="3">
        <v>7.75</v>
      </c>
      <c r="M123" s="6">
        <v>4.3</v>
      </c>
      <c r="N123" s="14">
        <v>10.7</v>
      </c>
      <c r="O123" s="5">
        <v>880400</v>
      </c>
      <c r="P123" s="9">
        <v>565.5</v>
      </c>
      <c r="Q123" s="12">
        <v>304.75</v>
      </c>
      <c r="R123" s="9">
        <v>730</v>
      </c>
      <c r="S123" s="9">
        <v>167</v>
      </c>
      <c r="T123" s="9">
        <v>612</v>
      </c>
    </row>
    <row r="124" spans="1:20" ht="12.75">
      <c r="A124" s="2">
        <v>39274</v>
      </c>
      <c r="B124" s="6">
        <v>13501.7</v>
      </c>
      <c r="C124" s="3">
        <v>5.25</v>
      </c>
      <c r="D124" s="3">
        <v>2.69</v>
      </c>
      <c r="E124" s="6">
        <v>6630.9</v>
      </c>
      <c r="F124" s="10">
        <v>2.024</v>
      </c>
      <c r="G124" s="7">
        <v>1.476</v>
      </c>
      <c r="H124" s="11">
        <v>661.7</v>
      </c>
      <c r="I124" s="11">
        <v>76.51</v>
      </c>
      <c r="J124">
        <v>5.75</v>
      </c>
      <c r="K124" s="3">
        <v>2.5</v>
      </c>
      <c r="L124" s="3">
        <v>7.75</v>
      </c>
      <c r="M124" s="6">
        <v>4.3</v>
      </c>
      <c r="N124" s="14">
        <v>10.7</v>
      </c>
      <c r="O124" s="5">
        <v>880400</v>
      </c>
      <c r="P124" s="12">
        <v>557.5</v>
      </c>
      <c r="Q124" s="9">
        <v>305.25</v>
      </c>
      <c r="R124" s="12">
        <v>710</v>
      </c>
      <c r="S124" s="12">
        <v>162.5</v>
      </c>
      <c r="T124" s="12">
        <v>611.5</v>
      </c>
    </row>
    <row r="125" spans="1:20" ht="12.75">
      <c r="A125" s="2">
        <v>39275</v>
      </c>
      <c r="B125" s="8">
        <v>13577</v>
      </c>
      <c r="C125" s="3">
        <v>5.25</v>
      </c>
      <c r="D125" s="3">
        <v>2.69</v>
      </c>
      <c r="E125" s="6">
        <v>6615.1</v>
      </c>
      <c r="F125" s="10">
        <v>2.033</v>
      </c>
      <c r="G125" s="10">
        <v>1.477</v>
      </c>
      <c r="H125" s="11">
        <v>663</v>
      </c>
      <c r="I125" s="18">
        <v>76.28</v>
      </c>
      <c r="J125">
        <v>5.75</v>
      </c>
      <c r="K125" s="3">
        <v>2.5</v>
      </c>
      <c r="L125" s="3">
        <v>7.75</v>
      </c>
      <c r="M125" s="6">
        <v>4.3</v>
      </c>
      <c r="N125" s="14">
        <v>10.7</v>
      </c>
      <c r="O125" s="5">
        <v>880400</v>
      </c>
      <c r="P125" s="12">
        <v>553.5</v>
      </c>
      <c r="Q125" s="9">
        <v>313.75</v>
      </c>
      <c r="R125" s="9">
        <v>712.5</v>
      </c>
      <c r="S125" s="12">
        <v>161</v>
      </c>
      <c r="T125" s="12">
        <v>605</v>
      </c>
    </row>
    <row r="126" spans="1:20" ht="12.75">
      <c r="A126" s="2">
        <v>39276</v>
      </c>
      <c r="B126" s="8">
        <v>13822.9</v>
      </c>
      <c r="C126" s="3">
        <v>5.25</v>
      </c>
      <c r="D126" s="3">
        <v>2.69</v>
      </c>
      <c r="E126" s="8">
        <v>6697.7</v>
      </c>
      <c r="F126" s="15">
        <v>2.03</v>
      </c>
      <c r="G126" s="7">
        <v>1.473</v>
      </c>
      <c r="H126" s="11">
        <v>667.25</v>
      </c>
      <c r="I126" s="18">
        <v>76.11</v>
      </c>
      <c r="J126">
        <v>5.75</v>
      </c>
      <c r="K126" s="3">
        <v>2.5</v>
      </c>
      <c r="L126" s="3">
        <v>7.75</v>
      </c>
      <c r="M126" s="6">
        <v>4.3</v>
      </c>
      <c r="N126" s="14">
        <v>10.7</v>
      </c>
      <c r="O126" s="5">
        <v>880400</v>
      </c>
      <c r="P126" s="9">
        <v>560</v>
      </c>
      <c r="Q126" s="9">
        <v>316.75</v>
      </c>
      <c r="R126" s="9">
        <v>718</v>
      </c>
      <c r="S126" s="9">
        <v>162.5</v>
      </c>
      <c r="T126" s="9">
        <v>611</v>
      </c>
    </row>
    <row r="127" spans="1:20" ht="12.75">
      <c r="A127" s="2">
        <v>39277</v>
      </c>
      <c r="B127" s="8">
        <v>13889.8</v>
      </c>
      <c r="C127" s="3">
        <v>5.25</v>
      </c>
      <c r="D127" s="3">
        <v>2.69</v>
      </c>
      <c r="E127" s="8">
        <v>6716.7</v>
      </c>
      <c r="F127" s="10">
        <v>2.035</v>
      </c>
      <c r="G127" s="10">
        <v>1.476</v>
      </c>
      <c r="H127" s="11">
        <v>666.5</v>
      </c>
      <c r="I127" s="11">
        <v>77.39</v>
      </c>
      <c r="J127">
        <v>5.75</v>
      </c>
      <c r="K127" s="3">
        <v>2.5</v>
      </c>
      <c r="L127" s="3">
        <v>7.75</v>
      </c>
      <c r="M127" s="6">
        <v>4.3</v>
      </c>
      <c r="N127" s="14">
        <v>10.7</v>
      </c>
      <c r="O127" s="5">
        <v>880400</v>
      </c>
      <c r="P127" s="9">
        <v>566.5</v>
      </c>
      <c r="Q127" s="9">
        <v>319</v>
      </c>
      <c r="R127" s="9">
        <v>733</v>
      </c>
      <c r="S127" s="9">
        <v>163.25</v>
      </c>
      <c r="T127" s="9">
        <v>613</v>
      </c>
    </row>
    <row r="128" spans="1:20" ht="12.75">
      <c r="A128" s="2">
        <v>39280</v>
      </c>
      <c r="B128" s="8">
        <v>13951</v>
      </c>
      <c r="C128" s="3">
        <v>5.25</v>
      </c>
      <c r="D128" s="3">
        <v>2.69</v>
      </c>
      <c r="E128" s="6">
        <v>6697.7</v>
      </c>
      <c r="F128" s="10">
        <v>2.038</v>
      </c>
      <c r="G128" s="10">
        <v>1.478</v>
      </c>
      <c r="H128" s="3">
        <v>666</v>
      </c>
      <c r="I128" s="18">
        <v>75.99</v>
      </c>
      <c r="J128">
        <v>5.75</v>
      </c>
      <c r="K128" s="3">
        <v>2.5</v>
      </c>
      <c r="L128" s="3">
        <v>7.75</v>
      </c>
      <c r="M128" s="6">
        <v>4.3</v>
      </c>
      <c r="N128" s="14">
        <v>10.7</v>
      </c>
      <c r="O128" s="5">
        <v>880400</v>
      </c>
      <c r="P128" s="9">
        <v>569</v>
      </c>
      <c r="Q128" s="12">
        <v>317.25</v>
      </c>
      <c r="R128" s="12">
        <v>730.5</v>
      </c>
      <c r="S128" s="12">
        <v>162.25</v>
      </c>
      <c r="T128" s="12">
        <v>608</v>
      </c>
    </row>
    <row r="129" spans="1:20" ht="12.75">
      <c r="A129" s="2">
        <v>39281</v>
      </c>
      <c r="B129" s="8">
        <v>13971.5</v>
      </c>
      <c r="C129" s="3">
        <v>5.25</v>
      </c>
      <c r="D129" s="3">
        <v>2.69</v>
      </c>
      <c r="E129" s="6">
        <v>6659.1</v>
      </c>
      <c r="F129" s="10">
        <v>2.046</v>
      </c>
      <c r="G129" s="7">
        <v>1.484</v>
      </c>
      <c r="H129" s="11">
        <v>666.5</v>
      </c>
      <c r="I129" s="18">
        <v>75.04</v>
      </c>
      <c r="J129">
        <v>5.75</v>
      </c>
      <c r="K129" s="3">
        <v>2.5</v>
      </c>
      <c r="L129" s="3">
        <v>7.75</v>
      </c>
      <c r="M129" s="16">
        <v>4.4</v>
      </c>
      <c r="N129" s="14">
        <v>10.7</v>
      </c>
      <c r="O129" s="5">
        <v>880400</v>
      </c>
      <c r="P129" s="9">
        <v>572</v>
      </c>
      <c r="Q129" s="12">
        <v>316.25</v>
      </c>
      <c r="R129" s="12">
        <v>726.5</v>
      </c>
      <c r="S129" s="9">
        <v>162.75</v>
      </c>
      <c r="T129" s="12">
        <v>606</v>
      </c>
    </row>
    <row r="130" spans="1:20" ht="12.75">
      <c r="A130" s="2">
        <v>39282</v>
      </c>
      <c r="B130" s="8">
        <v>13879.3</v>
      </c>
      <c r="C130" s="3">
        <v>5.25</v>
      </c>
      <c r="D130" s="3">
        <v>2.69</v>
      </c>
      <c r="E130" s="8">
        <v>6567.1</v>
      </c>
      <c r="F130" s="10">
        <v>2.054</v>
      </c>
      <c r="G130" s="10">
        <v>1.487</v>
      </c>
      <c r="H130" s="11">
        <v>666.75</v>
      </c>
      <c r="I130" s="11">
        <v>76.41</v>
      </c>
      <c r="J130">
        <v>5.75</v>
      </c>
      <c r="K130" s="17">
        <v>2.4</v>
      </c>
      <c r="L130" s="3">
        <v>7.75</v>
      </c>
      <c r="M130" s="6">
        <v>4.4</v>
      </c>
      <c r="N130" s="14">
        <v>10.7</v>
      </c>
      <c r="O130" s="13">
        <v>864100</v>
      </c>
      <c r="P130" s="12">
        <v>567</v>
      </c>
      <c r="Q130" s="12">
        <v>315.75</v>
      </c>
      <c r="R130" s="12">
        <v>713</v>
      </c>
      <c r="S130" s="12">
        <v>159</v>
      </c>
      <c r="T130" s="12">
        <v>600</v>
      </c>
    </row>
    <row r="131" spans="1:20" ht="12.75">
      <c r="A131" s="2">
        <v>39283</v>
      </c>
      <c r="B131" s="8">
        <v>14000.4</v>
      </c>
      <c r="C131" s="3">
        <v>5.25</v>
      </c>
      <c r="D131" s="3">
        <v>2.69</v>
      </c>
      <c r="E131" s="8">
        <v>6640.2</v>
      </c>
      <c r="F131" s="15">
        <v>2.049</v>
      </c>
      <c r="G131" s="7">
        <v>1.483</v>
      </c>
      <c r="H131" s="11">
        <v>674.5</v>
      </c>
      <c r="I131" s="11">
        <v>76.99</v>
      </c>
      <c r="J131">
        <v>5.75</v>
      </c>
      <c r="K131" s="3">
        <v>2.4</v>
      </c>
      <c r="L131" s="3">
        <v>7.75</v>
      </c>
      <c r="M131" s="6">
        <v>4.4</v>
      </c>
      <c r="N131" s="14">
        <v>10.7</v>
      </c>
      <c r="O131" s="5">
        <v>864100</v>
      </c>
      <c r="P131" s="9">
        <v>569.5</v>
      </c>
      <c r="Q131" s="9">
        <v>328</v>
      </c>
      <c r="R131" s="9">
        <v>724.5</v>
      </c>
      <c r="S131" s="9">
        <v>162</v>
      </c>
      <c r="T131" s="9">
        <v>605</v>
      </c>
    </row>
    <row r="132" spans="1:20" ht="12.75">
      <c r="A132" s="2">
        <v>39284</v>
      </c>
      <c r="B132" s="6"/>
      <c r="C132" s="3">
        <v>5.25</v>
      </c>
      <c r="D132" s="3">
        <v>2.69</v>
      </c>
      <c r="E132" s="6">
        <v>6585.2</v>
      </c>
      <c r="F132" s="10">
        <v>2.055</v>
      </c>
      <c r="G132" s="10">
        <v>1.487</v>
      </c>
      <c r="H132" s="11">
        <v>681.6</v>
      </c>
      <c r="I132" s="11">
        <v>77.48</v>
      </c>
      <c r="J132">
        <v>5.75</v>
      </c>
      <c r="K132" s="3">
        <v>2.4</v>
      </c>
      <c r="L132" s="3">
        <v>7.75</v>
      </c>
      <c r="M132" s="6">
        <v>4.4</v>
      </c>
      <c r="N132" s="14">
        <v>10.7</v>
      </c>
      <c r="O132" s="5">
        <v>864100</v>
      </c>
      <c r="P132" s="12">
        <v>563.5</v>
      </c>
      <c r="Q132" s="12">
        <v>325</v>
      </c>
      <c r="R132" s="12">
        <v>723.5</v>
      </c>
      <c r="S132" s="12">
        <v>160.75</v>
      </c>
      <c r="T132" s="12">
        <v>599.5</v>
      </c>
    </row>
    <row r="133" spans="1:20" ht="12.75">
      <c r="A133" s="2">
        <v>39287</v>
      </c>
      <c r="B133" s="6">
        <v>13948.1</v>
      </c>
      <c r="C133" s="3">
        <v>5.25</v>
      </c>
      <c r="D133" s="3">
        <v>2.69</v>
      </c>
      <c r="E133" s="8">
        <v>6624.4</v>
      </c>
      <c r="F133" s="10">
        <v>2.058</v>
      </c>
      <c r="G133" s="10">
        <v>1.49</v>
      </c>
      <c r="H133" s="3">
        <v>681.6</v>
      </c>
      <c r="I133" s="18">
        <v>76.93</v>
      </c>
      <c r="J133">
        <v>5.75</v>
      </c>
      <c r="K133" s="3">
        <v>2.4</v>
      </c>
      <c r="L133" s="3">
        <v>7.75</v>
      </c>
      <c r="M133" s="6">
        <v>4.4</v>
      </c>
      <c r="N133" s="14">
        <v>10.7</v>
      </c>
      <c r="O133" s="5">
        <v>864100</v>
      </c>
      <c r="P133" s="9">
        <v>568</v>
      </c>
      <c r="Q133" s="12">
        <v>324.25</v>
      </c>
      <c r="R133" s="9">
        <v>733.5</v>
      </c>
      <c r="S133" s="12">
        <v>160.5</v>
      </c>
      <c r="T133" s="9">
        <v>601.5</v>
      </c>
    </row>
    <row r="134" spans="1:20" ht="12.75">
      <c r="A134" s="2">
        <v>39288</v>
      </c>
      <c r="B134" s="6">
        <v>13716.9</v>
      </c>
      <c r="C134" s="3">
        <v>5.25</v>
      </c>
      <c r="D134" s="3">
        <v>2.69</v>
      </c>
      <c r="E134" s="6">
        <v>6498.7</v>
      </c>
      <c r="F134" s="10">
        <v>2.062</v>
      </c>
      <c r="G134" s="10">
        <v>1.492</v>
      </c>
      <c r="H134" s="11">
        <v>684.3</v>
      </c>
      <c r="I134" s="18">
        <v>75.36</v>
      </c>
      <c r="J134">
        <v>5.75</v>
      </c>
      <c r="K134" s="3">
        <v>2.4</v>
      </c>
      <c r="L134" s="3">
        <v>7.75</v>
      </c>
      <c r="M134" s="6">
        <v>4.4</v>
      </c>
      <c r="N134" s="14">
        <v>10.7</v>
      </c>
      <c r="O134" s="5">
        <v>864100</v>
      </c>
      <c r="P134" s="12">
        <v>560.5</v>
      </c>
      <c r="Q134" s="12">
        <v>322.25</v>
      </c>
      <c r="R134" s="12">
        <v>713.5</v>
      </c>
      <c r="S134" s="12">
        <v>156</v>
      </c>
      <c r="T134" s="12">
        <v>590</v>
      </c>
    </row>
    <row r="135" spans="1:20" ht="12.75">
      <c r="A135" s="2">
        <v>39289</v>
      </c>
      <c r="B135" s="8">
        <v>13785.1</v>
      </c>
      <c r="C135" s="3">
        <v>5.25</v>
      </c>
      <c r="D135" s="3">
        <v>2.69</v>
      </c>
      <c r="E135" s="6">
        <v>6454.3</v>
      </c>
      <c r="F135" s="15">
        <v>2.051</v>
      </c>
      <c r="G135" s="10">
        <v>1.496</v>
      </c>
      <c r="H135" s="3">
        <v>684.3</v>
      </c>
      <c r="I135" s="11">
        <v>75.81</v>
      </c>
      <c r="J135">
        <v>5.75</v>
      </c>
      <c r="K135" s="3">
        <v>2.4</v>
      </c>
      <c r="L135" s="3">
        <v>7.75</v>
      </c>
      <c r="M135" s="6">
        <v>4.4</v>
      </c>
      <c r="N135" s="14">
        <v>10.7</v>
      </c>
      <c r="O135" s="5">
        <v>864100</v>
      </c>
      <c r="P135" s="12">
        <v>554.5</v>
      </c>
      <c r="Q135" s="12">
        <v>318.75</v>
      </c>
      <c r="R135" s="12">
        <v>700</v>
      </c>
      <c r="S135" s="9">
        <v>156.25</v>
      </c>
      <c r="T135" s="12">
        <v>584.5</v>
      </c>
    </row>
    <row r="136" spans="1:20" ht="12.75">
      <c r="A136" s="2">
        <v>39290</v>
      </c>
      <c r="B136" s="6">
        <v>13473.5</v>
      </c>
      <c r="C136" s="3">
        <v>5.25</v>
      </c>
      <c r="D136" s="3">
        <v>2.69</v>
      </c>
      <c r="E136" s="6">
        <v>6251.2</v>
      </c>
      <c r="F136" s="10">
        <v>2.054</v>
      </c>
      <c r="G136" s="7">
        <v>1.493</v>
      </c>
      <c r="H136" s="3">
        <v>670</v>
      </c>
      <c r="I136" s="11">
        <v>76.21</v>
      </c>
      <c r="J136">
        <v>5.75</v>
      </c>
      <c r="K136" s="3">
        <v>2.4</v>
      </c>
      <c r="L136" s="3">
        <v>7.75</v>
      </c>
      <c r="M136" s="6">
        <v>4.4</v>
      </c>
      <c r="N136" s="14">
        <v>10.7</v>
      </c>
      <c r="O136" s="5">
        <v>864100</v>
      </c>
      <c r="P136" s="12">
        <v>538.5</v>
      </c>
      <c r="Q136" s="12">
        <v>306.5</v>
      </c>
      <c r="R136" s="12">
        <v>662</v>
      </c>
      <c r="S136" s="12">
        <v>149.25</v>
      </c>
      <c r="T136" s="12">
        <v>575.5</v>
      </c>
    </row>
    <row r="137" spans="1:20" ht="12.75">
      <c r="A137" s="2">
        <v>39291</v>
      </c>
      <c r="B137" s="6">
        <v>13266</v>
      </c>
      <c r="C137" s="3">
        <v>5.25</v>
      </c>
      <c r="D137" s="3">
        <v>2.69</v>
      </c>
      <c r="E137" s="6">
        <v>6215.2</v>
      </c>
      <c r="F137" s="15">
        <v>2.027</v>
      </c>
      <c r="G137" s="7">
        <v>1.486</v>
      </c>
      <c r="H137" s="3">
        <v>660.5</v>
      </c>
      <c r="I137" s="18">
        <v>75.79</v>
      </c>
      <c r="J137">
        <v>5.75</v>
      </c>
      <c r="K137" s="3">
        <v>2.4</v>
      </c>
      <c r="L137" s="3">
        <v>7.75</v>
      </c>
      <c r="M137" s="6">
        <v>4.4</v>
      </c>
      <c r="N137" s="14">
        <v>10.7</v>
      </c>
      <c r="O137" s="5">
        <v>864100</v>
      </c>
      <c r="P137" s="12">
        <v>537</v>
      </c>
      <c r="Q137" s="12">
        <v>300.75</v>
      </c>
      <c r="R137" s="9">
        <v>664</v>
      </c>
      <c r="S137" s="9">
        <v>151.25</v>
      </c>
      <c r="T137" s="12">
        <v>572.5</v>
      </c>
    </row>
    <row r="138" spans="1:20" ht="12.75">
      <c r="A138" s="2">
        <v>39294</v>
      </c>
      <c r="B138" s="8">
        <v>13358.3</v>
      </c>
      <c r="C138" s="3">
        <v>5.25</v>
      </c>
      <c r="D138" s="3">
        <v>2.69</v>
      </c>
      <c r="E138" s="6">
        <v>6206.1</v>
      </c>
      <c r="F138" s="15">
        <v>2.024</v>
      </c>
      <c r="G138" s="7">
        <v>1.479</v>
      </c>
      <c r="H138" s="11">
        <v>661.5</v>
      </c>
      <c r="I138" s="11">
        <v>76.18</v>
      </c>
      <c r="J138">
        <v>5.75</v>
      </c>
      <c r="K138" s="3">
        <v>2.4</v>
      </c>
      <c r="L138" s="3">
        <v>7.75</v>
      </c>
      <c r="M138" s="6">
        <v>4.4</v>
      </c>
      <c r="N138" s="14">
        <v>10.7</v>
      </c>
      <c r="O138" s="5">
        <v>864100</v>
      </c>
      <c r="P138" s="12">
        <v>534.5</v>
      </c>
      <c r="Q138" s="12">
        <v>295.75</v>
      </c>
      <c r="R138" s="12">
        <v>650</v>
      </c>
      <c r="S138" s="12">
        <v>148</v>
      </c>
      <c r="T138" s="12">
        <v>569.5</v>
      </c>
    </row>
    <row r="139" spans="1:20" ht="12.75">
      <c r="A139" s="2">
        <v>39295</v>
      </c>
      <c r="B139" s="6">
        <v>13211.9</v>
      </c>
      <c r="C139" s="3">
        <v>5.25</v>
      </c>
      <c r="D139" s="3">
        <v>2.69</v>
      </c>
      <c r="E139" s="8">
        <v>6360.1</v>
      </c>
      <c r="F139" s="10">
        <v>2.037</v>
      </c>
      <c r="G139" s="10">
        <v>1.486</v>
      </c>
      <c r="H139" s="11">
        <v>665.5</v>
      </c>
      <c r="I139" s="11">
        <v>76.89</v>
      </c>
      <c r="J139">
        <v>5.75</v>
      </c>
      <c r="K139" s="3">
        <v>2.4</v>
      </c>
      <c r="L139" s="3">
        <v>7.75</v>
      </c>
      <c r="M139" s="6">
        <v>4.4</v>
      </c>
      <c r="N139" s="14">
        <v>10.7</v>
      </c>
      <c r="O139" s="5">
        <v>864100</v>
      </c>
      <c r="P139" s="9">
        <v>558</v>
      </c>
      <c r="Q139" s="9">
        <v>303</v>
      </c>
      <c r="R139" s="9">
        <v>683.5</v>
      </c>
      <c r="S139" s="9">
        <v>150</v>
      </c>
      <c r="T139" s="9">
        <v>577.5</v>
      </c>
    </row>
    <row r="140" spans="1:20" ht="12.75">
      <c r="A140" s="2">
        <v>39296</v>
      </c>
      <c r="B140" s="8">
        <v>13239.2</v>
      </c>
      <c r="C140" s="3">
        <v>5.25</v>
      </c>
      <c r="D140" s="3">
        <v>2.69</v>
      </c>
      <c r="E140" s="6">
        <v>6250.6</v>
      </c>
      <c r="F140" s="15">
        <v>2.031</v>
      </c>
      <c r="G140" s="7">
        <v>1.486</v>
      </c>
      <c r="H140" s="3">
        <v>665.5</v>
      </c>
      <c r="I140" s="18">
        <v>75.44</v>
      </c>
      <c r="J140">
        <v>5.75</v>
      </c>
      <c r="K140" s="3">
        <v>2.4</v>
      </c>
      <c r="L140" s="3">
        <v>7.75</v>
      </c>
      <c r="M140" s="6">
        <v>4.4</v>
      </c>
      <c r="N140" s="14">
        <v>10.7</v>
      </c>
      <c r="O140" s="5">
        <v>864100</v>
      </c>
      <c r="P140" s="12">
        <v>553</v>
      </c>
      <c r="Q140" s="12">
        <v>292.75</v>
      </c>
      <c r="R140" s="12">
        <v>678</v>
      </c>
      <c r="S140" s="9">
        <v>150.5</v>
      </c>
      <c r="T140" s="12">
        <v>573.5</v>
      </c>
    </row>
    <row r="141" spans="1:20" ht="12.75">
      <c r="A141" s="2">
        <v>39297</v>
      </c>
      <c r="B141" s="8">
        <v>13463.3</v>
      </c>
      <c r="C141" s="3">
        <v>5.25</v>
      </c>
      <c r="D141" s="3">
        <v>2.69</v>
      </c>
      <c r="E141" s="8">
        <v>6300.3</v>
      </c>
      <c r="F141" s="10">
        <v>2.036</v>
      </c>
      <c r="G141" s="10">
        <v>1.487</v>
      </c>
      <c r="H141" s="11">
        <v>666.25</v>
      </c>
      <c r="I141" s="11">
        <v>76.08</v>
      </c>
      <c r="J141">
        <v>5.75</v>
      </c>
      <c r="K141" s="3">
        <v>2.4</v>
      </c>
      <c r="L141" s="3">
        <v>7.75</v>
      </c>
      <c r="M141" s="6">
        <v>4.4</v>
      </c>
      <c r="N141" s="16">
        <v>11.2</v>
      </c>
      <c r="O141" s="5">
        <v>864100</v>
      </c>
      <c r="P141" s="9">
        <v>562</v>
      </c>
      <c r="Q141" s="12">
        <v>288.5</v>
      </c>
      <c r="R141" s="9">
        <v>700</v>
      </c>
      <c r="S141" s="9">
        <v>156.5</v>
      </c>
      <c r="T141" s="12">
        <v>563</v>
      </c>
    </row>
    <row r="142" spans="1:20" ht="12.75">
      <c r="A142" s="2">
        <v>39298</v>
      </c>
      <c r="B142" s="6">
        <v>13411.1</v>
      </c>
      <c r="C142" s="3">
        <v>5.25</v>
      </c>
      <c r="D142" s="3">
        <v>2.69</v>
      </c>
      <c r="E142" s="6">
        <v>6224.3</v>
      </c>
      <c r="F142" s="10">
        <v>2.042</v>
      </c>
      <c r="G142" s="7">
        <v>1.481</v>
      </c>
      <c r="H142" s="3">
        <v>666.25</v>
      </c>
      <c r="I142" s="18">
        <v>75</v>
      </c>
      <c r="J142">
        <v>5.75</v>
      </c>
      <c r="K142" s="3">
        <v>2.4</v>
      </c>
      <c r="L142" s="3">
        <v>7.75</v>
      </c>
      <c r="M142" s="6">
        <v>4.4</v>
      </c>
      <c r="N142" s="14">
        <v>11.2</v>
      </c>
      <c r="O142" s="5">
        <v>864100</v>
      </c>
      <c r="P142" s="12">
        <v>553.5</v>
      </c>
      <c r="Q142" s="12">
        <v>284.5</v>
      </c>
      <c r="R142" s="12">
        <v>688.5</v>
      </c>
      <c r="S142" s="12">
        <v>156</v>
      </c>
      <c r="T142" s="12">
        <v>554.5</v>
      </c>
    </row>
    <row r="143" spans="1:20" ht="12.75">
      <c r="A143" s="2">
        <v>39301</v>
      </c>
      <c r="B143" s="6">
        <v>13279.6</v>
      </c>
      <c r="C143" s="3">
        <v>5.25</v>
      </c>
      <c r="D143" s="3">
        <v>2.69</v>
      </c>
      <c r="E143" s="6">
        <v>6189.1</v>
      </c>
      <c r="F143" s="15">
        <v>2.03</v>
      </c>
      <c r="G143" s="7">
        <v>1.471</v>
      </c>
      <c r="H143" s="3">
        <v>666.25</v>
      </c>
      <c r="I143" s="18">
        <v>72.23</v>
      </c>
      <c r="J143">
        <v>5.75</v>
      </c>
      <c r="K143" s="3">
        <v>2.4</v>
      </c>
      <c r="L143" s="3">
        <v>7.75</v>
      </c>
      <c r="M143" s="6">
        <v>4.4</v>
      </c>
      <c r="N143" s="14">
        <v>11.2</v>
      </c>
      <c r="O143" s="5">
        <v>864100</v>
      </c>
      <c r="P143" s="9">
        <v>554.5</v>
      </c>
      <c r="Q143" s="12">
        <v>274.25</v>
      </c>
      <c r="R143" s="12">
        <v>685</v>
      </c>
      <c r="S143" s="12">
        <v>154.75</v>
      </c>
      <c r="T143" s="12">
        <v>547.5</v>
      </c>
    </row>
    <row r="144" spans="1:20" ht="12.75">
      <c r="A144" s="2">
        <v>39302</v>
      </c>
      <c r="B144" s="8">
        <v>13508.8</v>
      </c>
      <c r="C144" s="3">
        <v>5.25</v>
      </c>
      <c r="D144" s="3">
        <v>2.69</v>
      </c>
      <c r="E144" s="8">
        <v>6308.8</v>
      </c>
      <c r="F144" s="15">
        <v>2.022</v>
      </c>
      <c r="G144" s="7">
        <v>1.471</v>
      </c>
      <c r="H144" s="11">
        <v>668</v>
      </c>
      <c r="I144" s="18">
        <v>71</v>
      </c>
      <c r="J144">
        <v>5.75</v>
      </c>
      <c r="K144" s="3">
        <v>2.4</v>
      </c>
      <c r="L144" s="3">
        <v>7.75</v>
      </c>
      <c r="M144" s="6">
        <v>4.4</v>
      </c>
      <c r="N144" s="14">
        <v>11.2</v>
      </c>
      <c r="O144" s="5">
        <v>864100</v>
      </c>
      <c r="P144" s="9">
        <v>570</v>
      </c>
      <c r="Q144" s="9">
        <v>276.25</v>
      </c>
      <c r="R144" s="9">
        <v>704</v>
      </c>
      <c r="S144" s="9">
        <v>159.5</v>
      </c>
      <c r="T144" s="9">
        <v>554</v>
      </c>
    </row>
    <row r="145" spans="1:20" ht="12.75">
      <c r="A145" s="2">
        <v>39669</v>
      </c>
      <c r="B145" s="8">
        <v>13657.9</v>
      </c>
      <c r="C145" s="3">
        <v>5.25</v>
      </c>
      <c r="D145" s="3">
        <v>2.69</v>
      </c>
      <c r="E145" s="8">
        <v>6393.9</v>
      </c>
      <c r="F145" s="10">
        <v>2.037</v>
      </c>
      <c r="G145" s="10">
        <v>1.475</v>
      </c>
      <c r="H145" s="11">
        <v>675.5</v>
      </c>
      <c r="I145" s="11">
        <v>71.34</v>
      </c>
      <c r="J145">
        <v>5.75</v>
      </c>
      <c r="K145" s="3">
        <v>2.4</v>
      </c>
      <c r="L145" s="3">
        <v>7.75</v>
      </c>
      <c r="M145" s="6">
        <v>4.4</v>
      </c>
      <c r="N145" s="14">
        <v>11.2</v>
      </c>
      <c r="O145" s="5">
        <v>864100</v>
      </c>
      <c r="P145" s="12">
        <v>565</v>
      </c>
      <c r="Q145" s="9">
        <v>278</v>
      </c>
      <c r="R145" s="9">
        <v>717</v>
      </c>
      <c r="S145" s="9">
        <v>162.75</v>
      </c>
      <c r="T145" s="9">
        <v>558</v>
      </c>
    </row>
    <row r="146" spans="1:20" ht="12.75">
      <c r="A146" s="2">
        <v>39670</v>
      </c>
      <c r="B146" s="6">
        <v>13275.4</v>
      </c>
      <c r="C146" s="3">
        <v>5.25</v>
      </c>
      <c r="D146" s="3">
        <v>2.69</v>
      </c>
      <c r="E146" s="6">
        <v>6271.2</v>
      </c>
      <c r="F146" s="15">
        <v>2.026</v>
      </c>
      <c r="G146" s="10">
        <v>1.48</v>
      </c>
      <c r="H146" s="3">
        <v>675.5</v>
      </c>
      <c r="I146" s="18">
        <v>70.6</v>
      </c>
      <c r="J146">
        <v>5.75</v>
      </c>
      <c r="K146" s="3">
        <v>2.4</v>
      </c>
      <c r="L146" s="3">
        <v>7.75</v>
      </c>
      <c r="M146" s="6">
        <v>4.4</v>
      </c>
      <c r="N146" s="14">
        <v>11.2</v>
      </c>
      <c r="O146" s="5">
        <v>864100</v>
      </c>
      <c r="P146" s="12">
        <v>554</v>
      </c>
      <c r="Q146" s="12">
        <v>267.25</v>
      </c>
      <c r="R146" s="12">
        <v>695</v>
      </c>
      <c r="S146" s="12">
        <v>160.25</v>
      </c>
      <c r="T146" s="12">
        <v>546</v>
      </c>
    </row>
    <row r="147" spans="1:20" ht="12.75">
      <c r="A147" s="2">
        <v>39305</v>
      </c>
      <c r="B147" s="6">
        <v>13165.16</v>
      </c>
      <c r="C147" s="3">
        <v>5.25</v>
      </c>
      <c r="D147" s="3">
        <v>2.69</v>
      </c>
      <c r="E147" s="6">
        <v>6038.3</v>
      </c>
      <c r="F147" s="15">
        <v>2.023</v>
      </c>
      <c r="G147" s="7">
        <v>1.478</v>
      </c>
      <c r="H147" s="3">
        <v>662.6</v>
      </c>
      <c r="I147" s="18">
        <v>69.98</v>
      </c>
      <c r="J147">
        <v>5.75</v>
      </c>
      <c r="K147" s="3">
        <v>2.4</v>
      </c>
      <c r="L147" s="3">
        <v>7.75</v>
      </c>
      <c r="M147" s="6">
        <v>4.4</v>
      </c>
      <c r="N147" s="14">
        <v>11.2</v>
      </c>
      <c r="O147" s="5">
        <v>864100</v>
      </c>
      <c r="P147" s="12">
        <v>530</v>
      </c>
      <c r="Q147" s="12">
        <v>256</v>
      </c>
      <c r="R147" s="12">
        <v>653.5</v>
      </c>
      <c r="S147" s="12">
        <v>151.75</v>
      </c>
      <c r="T147" s="12">
        <v>530.5</v>
      </c>
    </row>
    <row r="148" spans="1:20" ht="12.75">
      <c r="A148" s="2">
        <v>39308</v>
      </c>
      <c r="B148" s="8">
        <v>13236.5</v>
      </c>
      <c r="C148" s="3">
        <v>5.25</v>
      </c>
      <c r="D148" s="3">
        <v>2.69</v>
      </c>
      <c r="E148" s="8">
        <v>6219</v>
      </c>
      <c r="F148" s="15">
        <v>2.012</v>
      </c>
      <c r="G148" s="7">
        <v>1.477</v>
      </c>
      <c r="H148" s="11">
        <v>668.75</v>
      </c>
      <c r="I148" s="11">
        <v>71.26</v>
      </c>
      <c r="J148">
        <v>5.75</v>
      </c>
      <c r="K148" s="17">
        <v>1.9</v>
      </c>
      <c r="L148" s="3">
        <v>7.75</v>
      </c>
      <c r="M148" s="6">
        <v>4.4</v>
      </c>
      <c r="N148" s="14">
        <v>11.2</v>
      </c>
      <c r="O148" s="5">
        <v>864100</v>
      </c>
      <c r="P148" s="9">
        <v>545.5</v>
      </c>
      <c r="Q148" s="9">
        <v>266</v>
      </c>
      <c r="R148" s="9">
        <v>676.5</v>
      </c>
      <c r="S148" s="9">
        <v>158.25</v>
      </c>
      <c r="T148" s="9">
        <v>544.5</v>
      </c>
    </row>
    <row r="149" spans="1:20" ht="12.75">
      <c r="A149" s="2">
        <v>39309</v>
      </c>
      <c r="B149" s="6">
        <v>13041.28</v>
      </c>
      <c r="C149" s="3">
        <v>5.25</v>
      </c>
      <c r="D149" s="17">
        <v>2.36</v>
      </c>
      <c r="E149" s="6">
        <v>6143.5</v>
      </c>
      <c r="F149" s="15">
        <v>2</v>
      </c>
      <c r="G149" s="7">
        <v>1.474</v>
      </c>
      <c r="H149" s="3">
        <v>668.35</v>
      </c>
      <c r="I149" s="18">
        <v>70.44</v>
      </c>
      <c r="J149">
        <v>5.75</v>
      </c>
      <c r="K149" s="3">
        <v>1.9</v>
      </c>
      <c r="L149" s="3">
        <v>7.75</v>
      </c>
      <c r="M149" s="16">
        <v>3.8</v>
      </c>
      <c r="N149" s="14">
        <v>11.2</v>
      </c>
      <c r="O149" s="5">
        <v>864100</v>
      </c>
      <c r="P149" s="12">
        <v>538.5</v>
      </c>
      <c r="Q149" s="12">
        <v>258.5</v>
      </c>
      <c r="R149" s="12">
        <v>665</v>
      </c>
      <c r="S149" s="12">
        <v>158</v>
      </c>
      <c r="T149" s="12">
        <v>540</v>
      </c>
    </row>
    <row r="150" spans="1:20" ht="12.75">
      <c r="A150" s="2">
        <v>39310</v>
      </c>
      <c r="B150" s="6">
        <v>13038.92</v>
      </c>
      <c r="C150" s="3">
        <v>5.25</v>
      </c>
      <c r="D150" s="3">
        <v>2.36</v>
      </c>
      <c r="E150" s="6">
        <v>6109.3</v>
      </c>
      <c r="F150" s="15">
        <v>1.992</v>
      </c>
      <c r="G150" s="10">
        <v>1.478</v>
      </c>
      <c r="H150" s="3">
        <v>667.25</v>
      </c>
      <c r="I150" s="11">
        <v>71.83</v>
      </c>
      <c r="J150">
        <v>5.75</v>
      </c>
      <c r="K150" s="3">
        <v>1.9</v>
      </c>
      <c r="L150" s="3">
        <v>7.75</v>
      </c>
      <c r="M150" s="6">
        <v>3.8</v>
      </c>
      <c r="N150" s="14">
        <v>11.2</v>
      </c>
      <c r="O150" s="13">
        <v>855300</v>
      </c>
      <c r="P150" s="12">
        <v>538.5</v>
      </c>
      <c r="Q150" s="12">
        <v>257.25</v>
      </c>
      <c r="R150" s="12">
        <v>655.5</v>
      </c>
      <c r="S150" s="12">
        <v>157.5</v>
      </c>
      <c r="T150" s="9">
        <v>542</v>
      </c>
    </row>
    <row r="151" spans="1:20" ht="12.75">
      <c r="A151" s="2">
        <v>39311</v>
      </c>
      <c r="B151" s="6">
        <v>12845.8</v>
      </c>
      <c r="C151" s="3">
        <v>5.25</v>
      </c>
      <c r="D151" s="3">
        <v>2.36</v>
      </c>
      <c r="E151" s="6">
        <v>5858.9</v>
      </c>
      <c r="F151" s="15">
        <v>1.982</v>
      </c>
      <c r="G151" s="10">
        <v>1.48</v>
      </c>
      <c r="H151" s="3">
        <v>662.25</v>
      </c>
      <c r="I151" s="18">
        <v>69.16</v>
      </c>
      <c r="J151">
        <v>5.75</v>
      </c>
      <c r="K151" s="3">
        <v>1.9</v>
      </c>
      <c r="L151" s="3">
        <v>7.75</v>
      </c>
      <c r="M151" s="6">
        <v>3.8</v>
      </c>
      <c r="N151" s="14">
        <v>11.2</v>
      </c>
      <c r="O151" s="5">
        <v>855300</v>
      </c>
      <c r="P151" s="9">
        <v>521</v>
      </c>
      <c r="Q151" s="12">
        <v>246.75</v>
      </c>
      <c r="R151" s="12">
        <v>619.5</v>
      </c>
      <c r="S151" s="12">
        <v>149.5</v>
      </c>
      <c r="T151" s="12">
        <v>520</v>
      </c>
    </row>
    <row r="152" spans="1:20" ht="12.75">
      <c r="A152" s="2">
        <v>39315</v>
      </c>
      <c r="B152" s="8">
        <v>13121.4</v>
      </c>
      <c r="C152" s="3">
        <v>5.25</v>
      </c>
      <c r="D152" s="3">
        <v>2.36</v>
      </c>
      <c r="E152" s="8">
        <v>6078.7</v>
      </c>
      <c r="F152" s="10">
        <v>1.984</v>
      </c>
      <c r="G152" s="7">
        <v>1.473</v>
      </c>
      <c r="H152" s="3">
        <v>659.5</v>
      </c>
      <c r="I152" s="11">
        <v>69.34</v>
      </c>
      <c r="J152">
        <v>5.75</v>
      </c>
      <c r="K152" s="3">
        <v>1.9</v>
      </c>
      <c r="L152" s="3">
        <v>7.75</v>
      </c>
      <c r="M152" s="6">
        <v>3.8</v>
      </c>
      <c r="N152" s="14">
        <v>11.2</v>
      </c>
      <c r="O152" s="5">
        <v>855300</v>
      </c>
      <c r="P152" s="9">
        <v>543.5</v>
      </c>
      <c r="Q152" s="9">
        <v>262.5</v>
      </c>
      <c r="R152" s="9">
        <v>657.5</v>
      </c>
      <c r="S152" s="9">
        <v>155.25</v>
      </c>
      <c r="T152" s="9">
        <v>538.5</v>
      </c>
    </row>
    <row r="153" spans="1:20" ht="12.75">
      <c r="A153" s="2">
        <v>39316</v>
      </c>
      <c r="B153" s="6">
        <v>13119.6</v>
      </c>
      <c r="C153" s="3">
        <v>5.25</v>
      </c>
      <c r="D153" s="3">
        <v>2.36</v>
      </c>
      <c r="E153" s="8">
        <v>6086.1</v>
      </c>
      <c r="F153" s="15">
        <v>1.982</v>
      </c>
      <c r="G153" s="7">
        <v>1.47</v>
      </c>
      <c r="H153" s="3">
        <v>657.5</v>
      </c>
      <c r="I153" s="18">
        <v>68.61</v>
      </c>
      <c r="J153">
        <v>5.75</v>
      </c>
      <c r="K153" s="3">
        <v>1.9</v>
      </c>
      <c r="L153" s="3">
        <v>7.75</v>
      </c>
      <c r="M153" s="6">
        <v>3.8</v>
      </c>
      <c r="N153" s="14">
        <v>11.2</v>
      </c>
      <c r="O153" s="5">
        <v>855300</v>
      </c>
      <c r="P153" s="9">
        <v>544</v>
      </c>
      <c r="Q153" s="12">
        <v>260.5</v>
      </c>
      <c r="R153" s="12">
        <v>654</v>
      </c>
      <c r="S153" s="9">
        <v>156.5</v>
      </c>
      <c r="T153" s="12">
        <v>538.5</v>
      </c>
    </row>
    <row r="154" spans="1:20" ht="12.75">
      <c r="A154" s="2">
        <v>39317</v>
      </c>
      <c r="B154" s="8">
        <v>13236.1</v>
      </c>
      <c r="C154" s="3">
        <v>5.25</v>
      </c>
      <c r="D154" s="3">
        <v>2.36</v>
      </c>
      <c r="E154" s="8">
        <v>6196</v>
      </c>
      <c r="F154" s="10">
        <v>1.99</v>
      </c>
      <c r="G154" s="10">
        <v>1.471</v>
      </c>
      <c r="H154" s="11">
        <v>659.5</v>
      </c>
      <c r="I154" s="18">
        <v>68.58</v>
      </c>
      <c r="J154">
        <v>5.75</v>
      </c>
      <c r="K154" s="3">
        <v>1.9</v>
      </c>
      <c r="L154" s="3">
        <v>7.75</v>
      </c>
      <c r="M154" s="6">
        <v>3.8</v>
      </c>
      <c r="N154" s="14">
        <v>11.2</v>
      </c>
      <c r="O154" s="5">
        <v>855300</v>
      </c>
      <c r="P154" s="9">
        <v>552</v>
      </c>
      <c r="Q154" s="9">
        <v>270.5</v>
      </c>
      <c r="R154" s="9">
        <v>681</v>
      </c>
      <c r="S154" s="12">
        <v>156</v>
      </c>
      <c r="T154" s="9">
        <v>544.5</v>
      </c>
    </row>
    <row r="155" spans="1:20" ht="12.75">
      <c r="A155" s="2">
        <v>39318</v>
      </c>
      <c r="B155" s="6">
        <v>13235.88</v>
      </c>
      <c r="C155" s="3">
        <v>5.25</v>
      </c>
      <c r="D155" s="3">
        <v>2.36</v>
      </c>
      <c r="E155" s="8">
        <v>6196.9</v>
      </c>
      <c r="F155" s="10">
        <v>2.005</v>
      </c>
      <c r="G155" s="10">
        <v>1.478</v>
      </c>
      <c r="H155" s="3">
        <v>660.75</v>
      </c>
      <c r="I155" s="18">
        <v>69.48</v>
      </c>
      <c r="J155">
        <v>5.75</v>
      </c>
      <c r="K155" s="3">
        <v>1.9</v>
      </c>
      <c r="L155" s="3">
        <v>7.75</v>
      </c>
      <c r="M155" s="6">
        <v>3.8</v>
      </c>
      <c r="N155" s="14">
        <v>11.2</v>
      </c>
      <c r="O155" s="5">
        <v>855300</v>
      </c>
      <c r="P155" s="9">
        <v>553.5</v>
      </c>
      <c r="Q155" s="9">
        <v>275</v>
      </c>
      <c r="R155" s="9">
        <v>687.5</v>
      </c>
      <c r="S155" s="12">
        <v>156.5</v>
      </c>
      <c r="T155" s="9">
        <v>546.5</v>
      </c>
    </row>
    <row r="156" spans="1:20" ht="12.75">
      <c r="A156" s="2">
        <v>39323</v>
      </c>
      <c r="B156" s="6">
        <v>13041.9</v>
      </c>
      <c r="C156" s="3">
        <v>5.25</v>
      </c>
      <c r="D156" s="3">
        <v>2.36</v>
      </c>
      <c r="E156" s="6">
        <v>6102.2</v>
      </c>
      <c r="F156" s="10">
        <v>2.008</v>
      </c>
      <c r="G156" s="7">
        <v>1.473</v>
      </c>
      <c r="H156" s="11">
        <v>666</v>
      </c>
      <c r="I156" s="11">
        <v>70.75</v>
      </c>
      <c r="J156">
        <v>5.75</v>
      </c>
      <c r="K156" s="3">
        <v>1.9</v>
      </c>
      <c r="L156" s="3">
        <v>7.75</v>
      </c>
      <c r="M156" s="6">
        <v>3.8</v>
      </c>
      <c r="N156" s="14">
        <v>11.2</v>
      </c>
      <c r="O156" s="5">
        <v>855300</v>
      </c>
      <c r="P156" s="9">
        <v>534</v>
      </c>
      <c r="Q156" s="12">
        <v>272.25</v>
      </c>
      <c r="R156" s="12">
        <v>671.5</v>
      </c>
      <c r="S156" s="12">
        <v>155</v>
      </c>
      <c r="T156" s="12">
        <v>542</v>
      </c>
    </row>
    <row r="157" spans="1:20" ht="12.75">
      <c r="A157" s="2">
        <v>39324</v>
      </c>
      <c r="B157" s="8">
        <v>13289.3</v>
      </c>
      <c r="C157" s="3">
        <v>5.25</v>
      </c>
      <c r="D157" s="3">
        <v>2.36</v>
      </c>
      <c r="E157" s="8">
        <v>6132.2</v>
      </c>
      <c r="F157" s="10">
        <v>2.017</v>
      </c>
      <c r="G157" s="10">
        <v>1.476</v>
      </c>
      <c r="H157" s="3">
        <v>664.25</v>
      </c>
      <c r="I157" s="11">
        <v>71.73</v>
      </c>
      <c r="J157">
        <v>5.75</v>
      </c>
      <c r="K157" s="3">
        <v>1.9</v>
      </c>
      <c r="L157" s="3">
        <v>7.75</v>
      </c>
      <c r="M157" s="6">
        <v>3.8</v>
      </c>
      <c r="N157" s="14">
        <v>11.2</v>
      </c>
      <c r="O157" s="5">
        <v>855300</v>
      </c>
      <c r="P157" s="12">
        <v>534</v>
      </c>
      <c r="Q157" s="9">
        <v>272.75</v>
      </c>
      <c r="R157" s="9">
        <v>678</v>
      </c>
      <c r="S157" s="9">
        <v>157</v>
      </c>
      <c r="T157" s="9">
        <v>542.5</v>
      </c>
    </row>
    <row r="158" spans="1:20" ht="12.75">
      <c r="A158" s="2">
        <v>39325</v>
      </c>
      <c r="B158" s="6">
        <v>13279</v>
      </c>
      <c r="C158" s="3">
        <v>5.25</v>
      </c>
      <c r="D158" s="3">
        <v>2.36</v>
      </c>
      <c r="E158" s="8">
        <v>6212</v>
      </c>
      <c r="F158" s="15">
        <v>2.016</v>
      </c>
      <c r="G158" s="10">
        <v>1.477</v>
      </c>
      <c r="H158" s="11">
        <v>666</v>
      </c>
      <c r="I158" s="11">
        <v>71.95</v>
      </c>
      <c r="J158">
        <v>5.75</v>
      </c>
      <c r="K158" s="3">
        <v>1.9</v>
      </c>
      <c r="L158" s="3">
        <v>7.75</v>
      </c>
      <c r="M158" s="6">
        <v>3.8</v>
      </c>
      <c r="N158" s="14">
        <v>11.2</v>
      </c>
      <c r="O158" s="5">
        <v>855300</v>
      </c>
      <c r="P158" s="9">
        <v>537.5</v>
      </c>
      <c r="Q158" s="9">
        <v>277.5</v>
      </c>
      <c r="R158" s="9">
        <v>690.5</v>
      </c>
      <c r="S158" s="9">
        <v>158.25</v>
      </c>
      <c r="T158" s="9">
        <v>551</v>
      </c>
    </row>
    <row r="159" spans="1:20" ht="12.75">
      <c r="A159" s="2">
        <v>39326</v>
      </c>
      <c r="B159" s="8">
        <v>13362.6</v>
      </c>
      <c r="C159" s="3">
        <v>5.25</v>
      </c>
      <c r="D159" s="3">
        <v>2.36</v>
      </c>
      <c r="E159" s="8">
        <v>6303.3</v>
      </c>
      <c r="F159" s="10">
        <v>2.018</v>
      </c>
      <c r="G159" s="10">
        <v>1.479</v>
      </c>
      <c r="H159" s="3">
        <v>666</v>
      </c>
      <c r="I159" s="11">
        <v>72.71</v>
      </c>
      <c r="J159">
        <v>5.75</v>
      </c>
      <c r="K159" s="3">
        <v>1.9</v>
      </c>
      <c r="L159" s="3">
        <v>7.75</v>
      </c>
      <c r="M159" s="6">
        <v>3.8</v>
      </c>
      <c r="N159" s="14">
        <v>11.2</v>
      </c>
      <c r="O159" s="5">
        <v>855300</v>
      </c>
      <c r="P159" s="9">
        <v>545</v>
      </c>
      <c r="Q159" s="9">
        <v>286.25</v>
      </c>
      <c r="R159" s="9">
        <v>703</v>
      </c>
      <c r="S159" s="9">
        <v>159.75</v>
      </c>
      <c r="T159" s="9">
        <v>557.5</v>
      </c>
    </row>
    <row r="160" spans="1:20" ht="12.75">
      <c r="A160" s="2">
        <v>39329</v>
      </c>
      <c r="B160" s="6"/>
      <c r="C160" s="3">
        <v>5.25</v>
      </c>
      <c r="D160" s="3">
        <v>2.36</v>
      </c>
      <c r="E160" s="8">
        <v>6315.2</v>
      </c>
      <c r="F160" s="10">
        <v>2.018</v>
      </c>
      <c r="G160" s="10">
        <v>1.482</v>
      </c>
      <c r="H160" s="11">
        <v>672</v>
      </c>
      <c r="I160" s="11">
        <v>73.3</v>
      </c>
      <c r="J160">
        <v>5.75</v>
      </c>
      <c r="K160" s="3">
        <v>1.9</v>
      </c>
      <c r="L160" s="3">
        <v>7.75</v>
      </c>
      <c r="M160" s="6">
        <v>3.8</v>
      </c>
      <c r="N160" s="14">
        <v>11.2</v>
      </c>
      <c r="O160" s="5">
        <v>855300</v>
      </c>
      <c r="P160" s="12">
        <v>547.5</v>
      </c>
      <c r="Q160" s="9">
        <v>290</v>
      </c>
      <c r="R160" s="9">
        <v>712</v>
      </c>
      <c r="S160" s="9">
        <v>160.75</v>
      </c>
      <c r="T160" s="12">
        <v>550.5</v>
      </c>
    </row>
    <row r="161" spans="1:20" ht="12.75">
      <c r="A161" s="2">
        <v>39330</v>
      </c>
      <c r="B161" s="6">
        <v>13450.1</v>
      </c>
      <c r="C161" s="3">
        <v>5.25</v>
      </c>
      <c r="D161" s="3">
        <v>2.36</v>
      </c>
      <c r="E161" s="8">
        <v>6376.8</v>
      </c>
      <c r="F161" s="15">
        <v>2.014</v>
      </c>
      <c r="G161" s="7">
        <v>1.48</v>
      </c>
      <c r="H161" s="11">
        <v>678.75</v>
      </c>
      <c r="I161" s="11">
        <v>73.84</v>
      </c>
      <c r="J161">
        <v>5.75</v>
      </c>
      <c r="K161" s="3">
        <v>1.9</v>
      </c>
      <c r="L161" s="3">
        <v>7.75</v>
      </c>
      <c r="M161" s="6">
        <v>3.8</v>
      </c>
      <c r="N161" s="14">
        <v>11.2</v>
      </c>
      <c r="O161" s="5">
        <v>855300</v>
      </c>
      <c r="P161" s="9">
        <v>548.5</v>
      </c>
      <c r="Q161" s="9">
        <v>291.25</v>
      </c>
      <c r="R161" s="9">
        <v>720.5</v>
      </c>
      <c r="S161" s="9">
        <v>161.75</v>
      </c>
      <c r="T161" s="9">
        <v>561</v>
      </c>
    </row>
    <row r="162" spans="1:20" ht="12.75">
      <c r="A162" s="2">
        <v>39331</v>
      </c>
      <c r="B162" s="6">
        <v>13305.4</v>
      </c>
      <c r="C162" s="3">
        <v>5.25</v>
      </c>
      <c r="D162" s="3">
        <v>2.36</v>
      </c>
      <c r="E162" s="6">
        <v>6270.7</v>
      </c>
      <c r="F162" s="10">
        <v>2.022</v>
      </c>
      <c r="G162" s="7">
        <v>1.48</v>
      </c>
      <c r="H162" s="11">
        <v>680.25</v>
      </c>
      <c r="I162" s="11">
        <v>73.92</v>
      </c>
      <c r="J162">
        <v>5.75</v>
      </c>
      <c r="K162" s="3">
        <v>1.9</v>
      </c>
      <c r="L162" s="3">
        <v>7.75</v>
      </c>
      <c r="M162" s="6">
        <v>3.8</v>
      </c>
      <c r="N162" s="14">
        <v>11.4</v>
      </c>
      <c r="O162" s="5">
        <v>855300</v>
      </c>
      <c r="P162" s="12">
        <v>535</v>
      </c>
      <c r="Q162" s="12">
        <v>280.5</v>
      </c>
      <c r="R162" s="12">
        <v>706</v>
      </c>
      <c r="S162" s="12">
        <v>158.75</v>
      </c>
      <c r="T162" s="12">
        <v>559</v>
      </c>
    </row>
    <row r="163" spans="1:20" ht="12.75">
      <c r="A163" s="2">
        <v>39332</v>
      </c>
      <c r="B163" s="8">
        <v>13364.1</v>
      </c>
      <c r="C163" s="3">
        <v>5.25</v>
      </c>
      <c r="D163" s="3">
        <v>2.36</v>
      </c>
      <c r="E163" s="8">
        <v>6313.3</v>
      </c>
      <c r="F163" s="10">
        <v>2.024</v>
      </c>
      <c r="G163" s="7">
        <v>1.478</v>
      </c>
      <c r="H163" s="11">
        <v>688.15</v>
      </c>
      <c r="I163" s="11">
        <v>74.67</v>
      </c>
      <c r="J163">
        <v>5.75</v>
      </c>
      <c r="K163" s="3">
        <v>1.9</v>
      </c>
      <c r="L163" s="3">
        <v>7.75</v>
      </c>
      <c r="M163" s="6">
        <v>3.8</v>
      </c>
      <c r="N163" s="14">
        <v>11.4</v>
      </c>
      <c r="O163" s="5">
        <v>855300</v>
      </c>
      <c r="P163" s="12">
        <v>533.5</v>
      </c>
      <c r="Q163" s="12">
        <v>274.75</v>
      </c>
      <c r="R163" s="9">
        <v>710.5</v>
      </c>
      <c r="S163" s="9">
        <v>159.5</v>
      </c>
      <c r="T163" s="9">
        <v>565</v>
      </c>
    </row>
    <row r="164" spans="1:20" ht="12.75">
      <c r="A164" s="2">
        <v>39333</v>
      </c>
      <c r="B164" s="6">
        <v>13113.4</v>
      </c>
      <c r="C164" s="3">
        <v>5.25</v>
      </c>
      <c r="D164" s="3">
        <v>2.36</v>
      </c>
      <c r="E164" s="6">
        <v>6191.2</v>
      </c>
      <c r="F164" s="10">
        <v>2.03</v>
      </c>
      <c r="G164" s="7">
        <v>1.473</v>
      </c>
      <c r="H164" s="11">
        <v>701</v>
      </c>
      <c r="I164" s="18">
        <v>74.67</v>
      </c>
      <c r="J164">
        <v>5.75</v>
      </c>
      <c r="K164" s="3">
        <v>1.9</v>
      </c>
      <c r="L164" s="3">
        <v>7.75</v>
      </c>
      <c r="M164" s="6">
        <v>3.8</v>
      </c>
      <c r="N164" s="14">
        <v>11.4</v>
      </c>
      <c r="O164" s="5">
        <v>855300</v>
      </c>
      <c r="P164" s="12">
        <v>524</v>
      </c>
      <c r="Q164" s="9">
        <v>276</v>
      </c>
      <c r="R164" s="12">
        <v>681.5</v>
      </c>
      <c r="S164" s="12">
        <v>159.25</v>
      </c>
      <c r="T164" s="12">
        <v>560</v>
      </c>
    </row>
    <row r="165" spans="1:20" ht="12.75">
      <c r="A165" s="2">
        <v>39336</v>
      </c>
      <c r="B165" s="6">
        <v>13116.6</v>
      </c>
      <c r="C165" s="3">
        <v>5.25</v>
      </c>
      <c r="D165" s="3">
        <v>2.36</v>
      </c>
      <c r="E165" s="6">
        <v>6134.1</v>
      </c>
      <c r="F165" s="15">
        <v>2.028</v>
      </c>
      <c r="G165" s="7">
        <v>1.47</v>
      </c>
      <c r="H165" s="3">
        <v>701</v>
      </c>
      <c r="I165" s="18">
        <v>74.51</v>
      </c>
      <c r="J165">
        <v>5.75</v>
      </c>
      <c r="K165" s="3">
        <v>1.9</v>
      </c>
      <c r="L165" s="3">
        <v>7.75</v>
      </c>
      <c r="M165" s="6">
        <v>3.8</v>
      </c>
      <c r="N165" s="14">
        <v>11.4</v>
      </c>
      <c r="O165" s="5">
        <v>855300</v>
      </c>
      <c r="P165" s="12">
        <v>520.5</v>
      </c>
      <c r="Q165" s="12">
        <v>272.75</v>
      </c>
      <c r="R165" s="12">
        <v>669.5</v>
      </c>
      <c r="S165" s="12">
        <v>157.75</v>
      </c>
      <c r="T165" s="12">
        <v>558</v>
      </c>
    </row>
    <row r="166" spans="1:20" ht="12.75">
      <c r="A166" s="2">
        <v>39337</v>
      </c>
      <c r="B166" s="8">
        <v>13256.9</v>
      </c>
      <c r="C166" s="3">
        <v>5.25</v>
      </c>
      <c r="D166" s="3">
        <v>2.36</v>
      </c>
      <c r="E166" s="8">
        <v>6280.7</v>
      </c>
      <c r="F166" s="10">
        <v>2.03</v>
      </c>
      <c r="G166" s="7">
        <v>1.468</v>
      </c>
      <c r="H166" s="11">
        <v>704.15</v>
      </c>
      <c r="I166" s="11">
        <v>75.63</v>
      </c>
      <c r="J166">
        <v>5.75</v>
      </c>
      <c r="K166" s="3">
        <v>1.9</v>
      </c>
      <c r="L166" s="3">
        <v>7.75</v>
      </c>
      <c r="M166" s="6">
        <v>3.8</v>
      </c>
      <c r="N166" s="14">
        <v>11.4</v>
      </c>
      <c r="O166" s="5">
        <v>855300</v>
      </c>
      <c r="P166" s="9">
        <v>532</v>
      </c>
      <c r="Q166" s="9">
        <v>280.5</v>
      </c>
      <c r="R166" s="9">
        <v>687</v>
      </c>
      <c r="S166" s="9">
        <v>163</v>
      </c>
      <c r="T166" s="9">
        <v>563.5</v>
      </c>
    </row>
    <row r="167" spans="1:20" ht="12.75">
      <c r="A167" s="2">
        <v>39338</v>
      </c>
      <c r="B167" s="8">
        <v>13291.6</v>
      </c>
      <c r="C167" s="3">
        <v>5.25</v>
      </c>
      <c r="D167" s="3">
        <v>2.36</v>
      </c>
      <c r="E167" s="8">
        <v>6306.2</v>
      </c>
      <c r="F167" s="10">
        <v>2.031</v>
      </c>
      <c r="G167" s="7">
        <v>1.461</v>
      </c>
      <c r="H167" s="11">
        <v>706</v>
      </c>
      <c r="I167" s="11">
        <v>77.43</v>
      </c>
      <c r="J167">
        <v>5.75</v>
      </c>
      <c r="K167" s="3">
        <v>1.9</v>
      </c>
      <c r="L167" s="3">
        <v>7.75</v>
      </c>
      <c r="M167" s="6">
        <v>3.8</v>
      </c>
      <c r="N167" s="14">
        <v>11.4</v>
      </c>
      <c r="O167" s="13">
        <v>852900</v>
      </c>
      <c r="P167" s="9">
        <v>533</v>
      </c>
      <c r="Q167" s="9">
        <v>281.25</v>
      </c>
      <c r="R167" s="12">
        <v>679.5</v>
      </c>
      <c r="S167" s="9">
        <v>166</v>
      </c>
      <c r="T167" s="9">
        <v>567.5</v>
      </c>
    </row>
    <row r="168" spans="1:20" ht="12.75">
      <c r="A168" s="2">
        <v>39339</v>
      </c>
      <c r="B168" s="8">
        <v>13430.6</v>
      </c>
      <c r="C168" s="3">
        <v>5.25</v>
      </c>
      <c r="D168" s="3">
        <v>2.36</v>
      </c>
      <c r="E168" s="8">
        <v>6363.9</v>
      </c>
      <c r="F168" s="15">
        <v>2.028</v>
      </c>
      <c r="G168" s="7">
        <v>1.46</v>
      </c>
      <c r="H168" s="3">
        <v>704.5</v>
      </c>
      <c r="I168" s="11">
        <v>77.65</v>
      </c>
      <c r="J168">
        <v>5.75</v>
      </c>
      <c r="K168" s="3">
        <v>1.9</v>
      </c>
      <c r="L168" s="3">
        <v>7.75</v>
      </c>
      <c r="M168" s="6">
        <v>3.8</v>
      </c>
      <c r="N168" s="14">
        <v>11.4</v>
      </c>
      <c r="O168" s="5">
        <v>852900</v>
      </c>
      <c r="P168" s="9">
        <v>534.5</v>
      </c>
      <c r="Q168" s="9">
        <v>286.25</v>
      </c>
      <c r="R168" s="9">
        <v>686</v>
      </c>
      <c r="S168" s="9">
        <v>169.75</v>
      </c>
      <c r="T168" s="9">
        <v>572</v>
      </c>
    </row>
    <row r="169" spans="1:20" ht="12.75">
      <c r="A169" s="2">
        <v>39340</v>
      </c>
      <c r="B169" s="6">
        <v>13427.2</v>
      </c>
      <c r="C169" s="3">
        <v>5.25</v>
      </c>
      <c r="D169" s="3">
        <v>2.36</v>
      </c>
      <c r="E169" s="6">
        <v>6289.3</v>
      </c>
      <c r="F169" s="15">
        <v>2.008</v>
      </c>
      <c r="G169" s="7">
        <v>1.449</v>
      </c>
      <c r="H169" s="11">
        <v>716.35</v>
      </c>
      <c r="I169" s="18">
        <v>76.96</v>
      </c>
      <c r="J169">
        <v>5.75</v>
      </c>
      <c r="K169" s="3">
        <v>1.9</v>
      </c>
      <c r="L169" s="3">
        <v>7.75</v>
      </c>
      <c r="M169" s="6">
        <v>3.8</v>
      </c>
      <c r="N169" s="14">
        <v>11.4</v>
      </c>
      <c r="O169" s="5">
        <v>852900</v>
      </c>
      <c r="P169" s="12">
        <v>520</v>
      </c>
      <c r="Q169" s="12">
        <v>279</v>
      </c>
      <c r="R169" s="12">
        <v>673</v>
      </c>
      <c r="S169" s="12">
        <v>169</v>
      </c>
      <c r="T169" s="12">
        <v>571</v>
      </c>
    </row>
    <row r="170" spans="1:20" ht="12.75">
      <c r="A170" s="2">
        <v>39343</v>
      </c>
      <c r="B170" s="6">
        <v>13396.5</v>
      </c>
      <c r="C170" s="3">
        <v>5.25</v>
      </c>
      <c r="D170" s="3">
        <v>2.36</v>
      </c>
      <c r="E170" s="6">
        <v>6182.8</v>
      </c>
      <c r="F170" s="15">
        <v>1.993</v>
      </c>
      <c r="G170" s="7">
        <v>1.438</v>
      </c>
      <c r="H170" s="3">
        <v>716.35</v>
      </c>
      <c r="I170" s="18">
        <v>76.78</v>
      </c>
      <c r="J170">
        <v>5.75</v>
      </c>
      <c r="K170" s="3">
        <v>1.9</v>
      </c>
      <c r="L170" s="3">
        <v>7.75</v>
      </c>
      <c r="M170" s="6">
        <v>3.8</v>
      </c>
      <c r="N170" s="14">
        <v>11.4</v>
      </c>
      <c r="O170" s="5">
        <v>852900</v>
      </c>
      <c r="P170" s="12">
        <v>513</v>
      </c>
      <c r="Q170" s="12">
        <v>267</v>
      </c>
      <c r="R170" s="12">
        <v>638.5</v>
      </c>
      <c r="S170" s="12">
        <v>166.5</v>
      </c>
      <c r="T170" s="12">
        <v>568.5</v>
      </c>
    </row>
    <row r="171" spans="1:20" ht="12.75">
      <c r="A171" s="2">
        <v>39344</v>
      </c>
      <c r="B171" s="8">
        <v>13494.8</v>
      </c>
      <c r="C171" s="17">
        <v>4.75</v>
      </c>
      <c r="D171" s="17">
        <v>1.97</v>
      </c>
      <c r="E171" s="8">
        <v>6283.3</v>
      </c>
      <c r="F171" s="10">
        <v>1.999</v>
      </c>
      <c r="G171" s="10">
        <v>1.441</v>
      </c>
      <c r="H171" s="3">
        <v>714.75</v>
      </c>
      <c r="I171" s="11">
        <v>77.3</v>
      </c>
      <c r="J171">
        <v>5.75</v>
      </c>
      <c r="K171" s="3">
        <v>1.9</v>
      </c>
      <c r="L171" s="3">
        <v>7.75</v>
      </c>
      <c r="M171" s="16">
        <v>4.1</v>
      </c>
      <c r="N171" s="14">
        <v>11.4</v>
      </c>
      <c r="O171" s="5">
        <v>852900</v>
      </c>
      <c r="P171" s="9">
        <v>519.5</v>
      </c>
      <c r="Q171" s="12">
        <v>266.5</v>
      </c>
      <c r="R171" s="12">
        <v>659</v>
      </c>
      <c r="S171" s="12">
        <v>166.5</v>
      </c>
      <c r="T171" s="9">
        <v>571.5</v>
      </c>
    </row>
    <row r="172" spans="1:20" ht="12.75">
      <c r="A172" s="2">
        <v>39345</v>
      </c>
      <c r="B172" s="8">
        <v>13810.7</v>
      </c>
      <c r="C172" s="3">
        <v>4.75</v>
      </c>
      <c r="D172" s="3">
        <v>1.97</v>
      </c>
      <c r="E172" s="8">
        <v>6460</v>
      </c>
      <c r="F172" s="15">
        <v>1.999</v>
      </c>
      <c r="G172" s="7">
        <v>1.434</v>
      </c>
      <c r="H172" s="3">
        <v>714.75</v>
      </c>
      <c r="I172" s="11">
        <v>77.66</v>
      </c>
      <c r="J172">
        <v>5.75</v>
      </c>
      <c r="K172" s="3">
        <v>1.9</v>
      </c>
      <c r="L172" s="3">
        <v>7.75</v>
      </c>
      <c r="M172" s="6">
        <v>4.1</v>
      </c>
      <c r="N172" s="14">
        <v>11.4</v>
      </c>
      <c r="O172" s="5">
        <v>852900</v>
      </c>
      <c r="P172" s="9">
        <v>540.5</v>
      </c>
      <c r="Q172" s="9">
        <v>277.75</v>
      </c>
      <c r="R172" s="9">
        <v>702.5</v>
      </c>
      <c r="S172" s="12">
        <v>168.5</v>
      </c>
      <c r="T172" s="9">
        <v>588.5</v>
      </c>
    </row>
    <row r="173" spans="1:20" ht="12.75">
      <c r="A173" s="2">
        <v>39346</v>
      </c>
      <c r="B173" s="6">
        <v>13782.7</v>
      </c>
      <c r="C173" s="3">
        <v>4.75</v>
      </c>
      <c r="D173" s="3">
        <v>1.97</v>
      </c>
      <c r="E173" s="6">
        <v>6429</v>
      </c>
      <c r="F173" s="10">
        <v>2.011</v>
      </c>
      <c r="G173" s="7">
        <v>1.428</v>
      </c>
      <c r="H173" s="11">
        <v>734.5</v>
      </c>
      <c r="I173" s="11">
        <v>78.12</v>
      </c>
      <c r="J173">
        <v>5.75</v>
      </c>
      <c r="K173" s="17">
        <v>1.8</v>
      </c>
      <c r="L173" s="3">
        <v>7.75</v>
      </c>
      <c r="M173" s="6">
        <v>4.1</v>
      </c>
      <c r="N173" s="14">
        <v>11.4</v>
      </c>
      <c r="O173" s="5">
        <v>852900</v>
      </c>
      <c r="P173" s="12">
        <v>532</v>
      </c>
      <c r="Q173" s="12">
        <v>271.5</v>
      </c>
      <c r="R173" s="12">
        <v>685.5</v>
      </c>
      <c r="S173" s="9">
        <v>171</v>
      </c>
      <c r="T173" s="9">
        <v>590.5</v>
      </c>
    </row>
    <row r="174" spans="1:20" ht="12.75">
      <c r="A174" s="2">
        <v>39347</v>
      </c>
      <c r="B174" s="8">
        <v>13872.4</v>
      </c>
      <c r="C174" s="3">
        <v>4.75</v>
      </c>
      <c r="D174" s="3">
        <v>1.97</v>
      </c>
      <c r="E174" s="8">
        <v>6456.7</v>
      </c>
      <c r="F174" s="10">
        <v>2.019</v>
      </c>
      <c r="G174" s="10">
        <v>1.434</v>
      </c>
      <c r="H174" s="11">
        <v>737</v>
      </c>
      <c r="I174" s="11">
        <v>79.06</v>
      </c>
      <c r="J174">
        <v>5.75</v>
      </c>
      <c r="K174" s="3">
        <v>1.8</v>
      </c>
      <c r="L174" s="3">
        <v>7.75</v>
      </c>
      <c r="M174" s="6">
        <v>4.1</v>
      </c>
      <c r="N174" s="14">
        <v>11.4</v>
      </c>
      <c r="O174" s="5">
        <v>852900</v>
      </c>
      <c r="P174" s="9">
        <v>536</v>
      </c>
      <c r="Q174" s="9">
        <v>276.25</v>
      </c>
      <c r="R174" s="9">
        <v>696.5</v>
      </c>
      <c r="S174" s="9">
        <v>172.5</v>
      </c>
      <c r="T174" s="9">
        <v>592</v>
      </c>
    </row>
    <row r="175" spans="1:20" ht="12.75">
      <c r="A175" s="2">
        <v>39350</v>
      </c>
      <c r="B175" s="6">
        <v>13759</v>
      </c>
      <c r="C175" s="3">
        <v>4.75</v>
      </c>
      <c r="D175" s="3">
        <v>1.97</v>
      </c>
      <c r="E175" s="8">
        <v>6465.9</v>
      </c>
      <c r="F175" s="10">
        <v>2.022</v>
      </c>
      <c r="G175" s="10">
        <v>1.435</v>
      </c>
      <c r="H175" s="3">
        <v>730</v>
      </c>
      <c r="I175" s="11">
        <v>79.11</v>
      </c>
      <c r="J175">
        <v>5.75</v>
      </c>
      <c r="K175" s="3">
        <v>1.8</v>
      </c>
      <c r="L175" s="3">
        <v>7.75</v>
      </c>
      <c r="M175" s="6">
        <v>4.1</v>
      </c>
      <c r="N175" s="14">
        <v>11.4</v>
      </c>
      <c r="O175" s="5">
        <v>852900</v>
      </c>
      <c r="P175" s="12">
        <v>534</v>
      </c>
      <c r="Q175" s="12">
        <v>275</v>
      </c>
      <c r="R175" s="9">
        <v>715</v>
      </c>
      <c r="S175" s="9">
        <v>173</v>
      </c>
      <c r="T175" s="12">
        <v>589.5</v>
      </c>
    </row>
    <row r="176" spans="1:20" ht="12.75">
      <c r="A176" s="2">
        <v>39351</v>
      </c>
      <c r="B176" s="8">
        <v>13778.7</v>
      </c>
      <c r="C176" s="3">
        <v>4.75</v>
      </c>
      <c r="D176" s="3">
        <v>1.97</v>
      </c>
      <c r="E176" s="6">
        <v>6396.9</v>
      </c>
      <c r="F176" s="15">
        <v>2.018</v>
      </c>
      <c r="G176" s="7">
        <v>1.428</v>
      </c>
      <c r="H176" s="3">
        <v>728.5</v>
      </c>
      <c r="I176" s="18">
        <v>77.52</v>
      </c>
      <c r="J176">
        <v>5.75</v>
      </c>
      <c r="K176" s="3">
        <v>1.8</v>
      </c>
      <c r="L176" s="3">
        <v>7.75</v>
      </c>
      <c r="M176" s="6">
        <v>4.1</v>
      </c>
      <c r="N176" s="14">
        <v>11.4</v>
      </c>
      <c r="O176" s="5">
        <v>852900</v>
      </c>
      <c r="P176" s="12">
        <v>531.5</v>
      </c>
      <c r="Q176" s="12">
        <v>271.25</v>
      </c>
      <c r="R176" s="12">
        <v>711</v>
      </c>
      <c r="S176" s="9">
        <v>173.25</v>
      </c>
      <c r="T176" s="12">
        <v>572.5</v>
      </c>
    </row>
    <row r="177" spans="1:20" ht="12.75">
      <c r="A177" s="2">
        <v>39352</v>
      </c>
      <c r="B177" s="8">
        <v>13863.2</v>
      </c>
      <c r="C177" s="3">
        <v>4.75</v>
      </c>
      <c r="D177" s="3">
        <v>1.97</v>
      </c>
      <c r="E177" s="8">
        <v>6433</v>
      </c>
      <c r="F177" s="15">
        <v>2.015</v>
      </c>
      <c r="G177" s="7">
        <v>1.427</v>
      </c>
      <c r="H177" s="11">
        <v>734.75</v>
      </c>
      <c r="I177" s="18">
        <v>76.52</v>
      </c>
      <c r="J177">
        <v>5.75</v>
      </c>
      <c r="K177" s="3">
        <v>1.8</v>
      </c>
      <c r="L177" s="3">
        <v>7.75</v>
      </c>
      <c r="M177" s="6">
        <v>4.1</v>
      </c>
      <c r="N177" s="14">
        <v>11.4</v>
      </c>
      <c r="O177" s="5">
        <v>852900</v>
      </c>
      <c r="P177" s="9">
        <v>536</v>
      </c>
      <c r="Q177" s="9">
        <v>273</v>
      </c>
      <c r="R177" s="9">
        <v>732</v>
      </c>
      <c r="S177" s="9">
        <v>175.75</v>
      </c>
      <c r="T177" s="12">
        <v>567</v>
      </c>
    </row>
    <row r="178" spans="1:20" ht="12.75">
      <c r="A178" s="2">
        <v>39353</v>
      </c>
      <c r="B178" s="8">
        <v>13912.9</v>
      </c>
      <c r="C178" s="3">
        <v>4.75</v>
      </c>
      <c r="D178" s="3">
        <v>1.97</v>
      </c>
      <c r="E178" s="8">
        <v>6486.4</v>
      </c>
      <c r="F178" s="10">
        <v>2.024</v>
      </c>
      <c r="G178" s="10">
        <v>1.431</v>
      </c>
      <c r="H178" s="3">
        <v>731.75</v>
      </c>
      <c r="I178" s="11">
        <v>78.91</v>
      </c>
      <c r="J178">
        <v>5.75</v>
      </c>
      <c r="K178" s="3">
        <v>1.8</v>
      </c>
      <c r="L178" s="3">
        <v>7.75</v>
      </c>
      <c r="M178" s="6">
        <v>4.1</v>
      </c>
      <c r="N178" s="14">
        <v>11.4</v>
      </c>
      <c r="O178" s="5">
        <v>852900</v>
      </c>
      <c r="P178" s="9">
        <v>542.5</v>
      </c>
      <c r="Q178" s="9">
        <v>279</v>
      </c>
      <c r="R178" s="9">
        <v>746.5</v>
      </c>
      <c r="S178" s="9">
        <v>178.5</v>
      </c>
      <c r="T178" s="12">
        <v>566</v>
      </c>
    </row>
    <row r="179" spans="1:20" ht="12.75">
      <c r="A179" s="2">
        <v>39357</v>
      </c>
      <c r="B179" s="6">
        <v>14052.8</v>
      </c>
      <c r="C179" s="3">
        <v>4.75</v>
      </c>
      <c r="D179" s="3">
        <v>1.97</v>
      </c>
      <c r="E179" s="6">
        <v>6506.2</v>
      </c>
      <c r="F179" s="10">
        <v>2.043</v>
      </c>
      <c r="G179" s="10">
        <v>1.436</v>
      </c>
      <c r="H179" s="11">
        <v>742.5</v>
      </c>
      <c r="I179" s="18">
        <v>77.33</v>
      </c>
      <c r="J179">
        <v>5.75</v>
      </c>
      <c r="K179" s="3">
        <v>1.8</v>
      </c>
      <c r="L179" s="3">
        <v>7.75</v>
      </c>
      <c r="M179" s="6">
        <v>4.1</v>
      </c>
      <c r="N179" s="14">
        <v>11.4</v>
      </c>
      <c r="O179" s="5">
        <v>852900</v>
      </c>
      <c r="P179" s="9">
        <v>543</v>
      </c>
      <c r="Q179" s="9">
        <v>284.25</v>
      </c>
      <c r="R179" s="9">
        <v>766.5</v>
      </c>
      <c r="S179" s="9">
        <v>178.75</v>
      </c>
      <c r="T179" s="12">
        <v>565.5</v>
      </c>
    </row>
    <row r="180" spans="1:20" ht="12.75">
      <c r="A180" s="2">
        <v>39358</v>
      </c>
      <c r="B180" s="6">
        <v>14042.4</v>
      </c>
      <c r="C180" s="3">
        <v>4.75</v>
      </c>
      <c r="D180" s="3">
        <v>1.97</v>
      </c>
      <c r="E180" s="6">
        <v>6500.4</v>
      </c>
      <c r="F180" s="15">
        <v>2.042</v>
      </c>
      <c r="G180" s="10">
        <v>1.442</v>
      </c>
      <c r="H180" s="3">
        <v>731</v>
      </c>
      <c r="I180" s="18">
        <v>76.72</v>
      </c>
      <c r="J180">
        <v>5.75</v>
      </c>
      <c r="K180" s="3">
        <v>1.8</v>
      </c>
      <c r="L180" s="3">
        <v>7.75</v>
      </c>
      <c r="M180" s="6">
        <v>4.1</v>
      </c>
      <c r="N180" s="14">
        <v>11.4</v>
      </c>
      <c r="O180" s="5">
        <v>852900</v>
      </c>
      <c r="P180" s="9">
        <v>556</v>
      </c>
      <c r="Q180" s="9">
        <v>288.75</v>
      </c>
      <c r="R180" s="12">
        <v>751</v>
      </c>
      <c r="S180" s="12">
        <v>175.5</v>
      </c>
      <c r="T180" s="12">
        <v>559.5</v>
      </c>
    </row>
    <row r="181" spans="1:20" ht="12.75">
      <c r="A181" s="2">
        <v>39359</v>
      </c>
      <c r="B181" s="6">
        <v>14015.4</v>
      </c>
      <c r="C181" s="3">
        <v>4.75</v>
      </c>
      <c r="D181" s="3">
        <v>1.97</v>
      </c>
      <c r="E181" s="6">
        <v>6535.2</v>
      </c>
      <c r="F181" s="15">
        <v>2.035</v>
      </c>
      <c r="G181" s="7">
        <v>1.441</v>
      </c>
      <c r="H181" s="3">
        <v>730.25</v>
      </c>
      <c r="I181" s="11">
        <v>77.59</v>
      </c>
      <c r="J181">
        <v>5.75</v>
      </c>
      <c r="K181" s="3">
        <v>1.8</v>
      </c>
      <c r="L181" s="3">
        <v>7.75</v>
      </c>
      <c r="M181" s="6">
        <v>4.1</v>
      </c>
      <c r="N181" s="14">
        <v>11.4</v>
      </c>
      <c r="O181" s="5">
        <v>852900</v>
      </c>
      <c r="P181" s="9">
        <v>565</v>
      </c>
      <c r="Q181" s="12">
        <v>287.5</v>
      </c>
      <c r="R181" s="9">
        <v>757.5</v>
      </c>
      <c r="S181" s="12">
        <v>171</v>
      </c>
      <c r="T181" s="12">
        <v>557</v>
      </c>
    </row>
    <row r="182" spans="1:20" ht="12.75">
      <c r="A182" s="2">
        <v>39360</v>
      </c>
      <c r="B182" s="6">
        <v>13964.1</v>
      </c>
      <c r="C182" s="3">
        <v>4.75</v>
      </c>
      <c r="D182" s="3">
        <v>1.97</v>
      </c>
      <c r="E182" s="8">
        <v>6547.9</v>
      </c>
      <c r="F182" s="10">
        <v>2.04</v>
      </c>
      <c r="G182" s="10">
        <v>1.443</v>
      </c>
      <c r="H182" s="3">
        <v>725.5</v>
      </c>
      <c r="I182" s="11">
        <v>78.27</v>
      </c>
      <c r="J182">
        <v>5.75</v>
      </c>
      <c r="K182" s="3">
        <v>1.8</v>
      </c>
      <c r="L182" s="3">
        <v>7.75</v>
      </c>
      <c r="M182" s="6">
        <v>4.1</v>
      </c>
      <c r="N182" s="16">
        <v>10.7</v>
      </c>
      <c r="O182" s="5">
        <v>852900</v>
      </c>
      <c r="P182" s="9">
        <v>571.5</v>
      </c>
      <c r="Q182" s="9">
        <v>292.25</v>
      </c>
      <c r="R182" s="9">
        <v>762.5</v>
      </c>
      <c r="S182" s="12">
        <v>169</v>
      </c>
      <c r="T182" s="9">
        <v>562</v>
      </c>
    </row>
    <row r="183" spans="1:20" ht="12.75">
      <c r="A183" s="2">
        <v>39364</v>
      </c>
      <c r="B183" s="8">
        <v>14015.3</v>
      </c>
      <c r="C183" s="3">
        <v>4.75</v>
      </c>
      <c r="D183" s="3">
        <v>1.97</v>
      </c>
      <c r="E183" s="6">
        <v>6540.9</v>
      </c>
      <c r="F183" s="15">
        <v>2.035</v>
      </c>
      <c r="G183" s="10">
        <v>1.449</v>
      </c>
      <c r="H183" s="11">
        <v>733.75</v>
      </c>
      <c r="I183" s="11">
        <v>77</v>
      </c>
      <c r="J183">
        <v>5.75</v>
      </c>
      <c r="K183" s="3">
        <v>1.8</v>
      </c>
      <c r="L183" s="3">
        <v>7.75</v>
      </c>
      <c r="M183" s="6">
        <v>4.1</v>
      </c>
      <c r="N183" s="14">
        <v>10.7</v>
      </c>
      <c r="O183" s="5">
        <v>852900</v>
      </c>
      <c r="P183" s="12">
        <v>567.5</v>
      </c>
      <c r="Q183" s="12">
        <v>289.25</v>
      </c>
      <c r="R183" s="9">
        <v>775</v>
      </c>
      <c r="S183" s="12">
        <v>168</v>
      </c>
      <c r="T183" s="9">
        <v>569.5</v>
      </c>
    </row>
    <row r="184" spans="1:20" ht="12.75">
      <c r="A184" s="2">
        <v>39365</v>
      </c>
      <c r="B184" s="8">
        <v>14164.5</v>
      </c>
      <c r="C184" s="3">
        <v>4.75</v>
      </c>
      <c r="D184" s="3">
        <v>1.97</v>
      </c>
      <c r="E184" s="8">
        <v>6615.4</v>
      </c>
      <c r="F184" s="15">
        <v>2.033</v>
      </c>
      <c r="G184" s="7">
        <v>1.443</v>
      </c>
      <c r="H184" s="11">
        <v>736</v>
      </c>
      <c r="I184" s="11">
        <v>77.67</v>
      </c>
      <c r="J184">
        <v>5.75</v>
      </c>
      <c r="K184" s="3">
        <v>1.8</v>
      </c>
      <c r="L184" s="3">
        <v>7.75</v>
      </c>
      <c r="M184" s="6">
        <v>4.1</v>
      </c>
      <c r="N184" s="14">
        <v>10.7</v>
      </c>
      <c r="O184" s="5">
        <v>852900</v>
      </c>
      <c r="P184" s="9">
        <v>571</v>
      </c>
      <c r="Q184" s="12">
        <v>287.5</v>
      </c>
      <c r="R184" s="12">
        <v>773</v>
      </c>
      <c r="S184" s="9">
        <v>171</v>
      </c>
      <c r="T184" s="9">
        <v>580.5</v>
      </c>
    </row>
    <row r="185" spans="1:20" ht="12.75">
      <c r="A185" s="2">
        <v>39366</v>
      </c>
      <c r="B185" s="6">
        <v>14078.6</v>
      </c>
      <c r="C185" s="3">
        <v>4.75</v>
      </c>
      <c r="D185" s="3">
        <v>1.97</v>
      </c>
      <c r="E185" s="8">
        <v>6633</v>
      </c>
      <c r="F185" s="10">
        <v>2.042</v>
      </c>
      <c r="G185" s="10">
        <v>1.444</v>
      </c>
      <c r="H185" s="11">
        <v>741.25</v>
      </c>
      <c r="I185" s="18">
        <v>77.57</v>
      </c>
      <c r="J185">
        <v>5.75</v>
      </c>
      <c r="K185" s="3">
        <v>1.8</v>
      </c>
      <c r="L185" s="3">
        <v>7.75</v>
      </c>
      <c r="M185" s="6">
        <v>4.1</v>
      </c>
      <c r="N185" s="14">
        <v>10.7</v>
      </c>
      <c r="O185" s="5">
        <v>852900</v>
      </c>
      <c r="P185" s="12">
        <v>563.5</v>
      </c>
      <c r="Q185" s="12">
        <v>286.5</v>
      </c>
      <c r="R185" s="9">
        <v>778</v>
      </c>
      <c r="S185" s="12">
        <v>171</v>
      </c>
      <c r="T185" s="12">
        <v>580</v>
      </c>
    </row>
    <row r="186" spans="1:20" ht="12.75">
      <c r="A186" s="2">
        <v>39367</v>
      </c>
      <c r="B186" s="6">
        <v>14015.1</v>
      </c>
      <c r="C186" s="3">
        <v>4.75</v>
      </c>
      <c r="D186" s="3">
        <v>1.97</v>
      </c>
      <c r="E186" s="8">
        <v>6724.5</v>
      </c>
      <c r="F186" s="15">
        <v>2.035</v>
      </c>
      <c r="G186" s="7">
        <v>1.43</v>
      </c>
      <c r="H186" s="11">
        <v>749</v>
      </c>
      <c r="I186" s="11">
        <v>80.43</v>
      </c>
      <c r="J186">
        <v>5.75</v>
      </c>
      <c r="K186" s="3">
        <v>1.8</v>
      </c>
      <c r="L186" s="3">
        <v>7.75</v>
      </c>
      <c r="M186" s="6">
        <v>4.1</v>
      </c>
      <c r="N186" s="14">
        <v>10.7</v>
      </c>
      <c r="O186" s="5">
        <v>852900</v>
      </c>
      <c r="P186" s="12">
        <v>562</v>
      </c>
      <c r="Q186" s="9">
        <v>295</v>
      </c>
      <c r="R186" s="12">
        <v>777.5</v>
      </c>
      <c r="S186" s="9">
        <v>179.5</v>
      </c>
      <c r="T186" s="9">
        <v>593.5</v>
      </c>
    </row>
    <row r="187" spans="1:20" ht="12.75">
      <c r="A187" s="2">
        <v>39371</v>
      </c>
      <c r="B187" s="6">
        <v>13986.1</v>
      </c>
      <c r="C187" s="3">
        <v>4.75</v>
      </c>
      <c r="D187" s="3">
        <v>1.97</v>
      </c>
      <c r="E187" s="6">
        <v>6644.5</v>
      </c>
      <c r="F187" s="10">
        <v>2.041</v>
      </c>
      <c r="G187" s="10">
        <v>1.436</v>
      </c>
      <c r="H187" s="11">
        <v>758.85</v>
      </c>
      <c r="I187" s="11">
        <v>81.66</v>
      </c>
      <c r="J187">
        <v>5.75</v>
      </c>
      <c r="K187" s="3">
        <v>1.8</v>
      </c>
      <c r="L187" s="3">
        <v>7.75</v>
      </c>
      <c r="M187" s="6">
        <v>4.1</v>
      </c>
      <c r="N187" s="14">
        <v>10.7</v>
      </c>
      <c r="O187" s="5">
        <v>852900</v>
      </c>
      <c r="P187" s="12">
        <v>547.5</v>
      </c>
      <c r="Q187" s="12">
        <v>293.75</v>
      </c>
      <c r="R187" s="12">
        <v>744.5</v>
      </c>
      <c r="S187" s="12">
        <v>176.25</v>
      </c>
      <c r="T187" s="9">
        <v>622.5</v>
      </c>
    </row>
    <row r="188" spans="1:20" ht="12.75">
      <c r="A188" s="2">
        <v>39372</v>
      </c>
      <c r="B188" s="6">
        <v>13893.5</v>
      </c>
      <c r="C188" s="3">
        <v>4.75</v>
      </c>
      <c r="D188" s="17">
        <v>2.76</v>
      </c>
      <c r="E188" s="6">
        <v>6614.3</v>
      </c>
      <c r="F188" s="10">
        <v>2.032</v>
      </c>
      <c r="G188" s="7">
        <v>1.435</v>
      </c>
      <c r="H188" s="3">
        <v>756.75</v>
      </c>
      <c r="I188" s="11">
        <v>83.36</v>
      </c>
      <c r="J188">
        <v>5.75</v>
      </c>
      <c r="K188" s="3">
        <v>1.8</v>
      </c>
      <c r="L188" s="3">
        <v>7.75</v>
      </c>
      <c r="M188" s="6">
        <v>4.1</v>
      </c>
      <c r="N188" s="14">
        <v>10.7</v>
      </c>
      <c r="O188" s="5">
        <v>852900</v>
      </c>
      <c r="P188" s="12">
        <v>536.5</v>
      </c>
      <c r="Q188" s="12">
        <v>287</v>
      </c>
      <c r="R188" s="12">
        <v>734.5</v>
      </c>
      <c r="S188" s="12">
        <v>173.5</v>
      </c>
      <c r="T188" s="9">
        <v>627</v>
      </c>
    </row>
    <row r="189" spans="1:20" ht="12.75">
      <c r="A189" s="2">
        <v>39373</v>
      </c>
      <c r="B189" s="6">
        <v>13832</v>
      </c>
      <c r="C189" s="3">
        <v>4.75</v>
      </c>
      <c r="D189" s="3">
        <v>2.76</v>
      </c>
      <c r="E189" s="8">
        <v>6677.7</v>
      </c>
      <c r="F189" s="10">
        <v>2.037</v>
      </c>
      <c r="G189" s="7">
        <v>1.435</v>
      </c>
      <c r="H189" s="3">
        <v>756.75</v>
      </c>
      <c r="I189" s="11">
        <v>83.57</v>
      </c>
      <c r="J189">
        <v>5.75</v>
      </c>
      <c r="K189" s="3">
        <v>1.8</v>
      </c>
      <c r="L189" s="3">
        <v>7.75</v>
      </c>
      <c r="M189" s="16">
        <v>3.9</v>
      </c>
      <c r="N189" s="14">
        <v>10.7</v>
      </c>
      <c r="O189" s="13">
        <v>835800</v>
      </c>
      <c r="P189" s="12">
        <v>547.5</v>
      </c>
      <c r="Q189" s="9">
        <v>298.75</v>
      </c>
      <c r="R189" s="9">
        <v>746</v>
      </c>
      <c r="S189" s="9">
        <v>175.5</v>
      </c>
      <c r="T189" s="12">
        <v>619.5</v>
      </c>
    </row>
    <row r="190" spans="1:20" ht="12.75">
      <c r="A190" s="2">
        <v>39374</v>
      </c>
      <c r="B190" s="8">
        <v>13888.9</v>
      </c>
      <c r="C190" s="3">
        <v>4.75</v>
      </c>
      <c r="D190" s="3">
        <v>2.76</v>
      </c>
      <c r="E190" s="6">
        <v>6609.4</v>
      </c>
      <c r="F190" s="10">
        <v>2.045</v>
      </c>
      <c r="G190" s="7">
        <v>1.431</v>
      </c>
      <c r="H190" s="11">
        <v>764.15</v>
      </c>
      <c r="I190" s="11">
        <v>83.58</v>
      </c>
      <c r="J190">
        <v>5.75</v>
      </c>
      <c r="K190" s="3">
        <v>1.8</v>
      </c>
      <c r="L190" s="3">
        <v>7.75</v>
      </c>
      <c r="M190" s="6">
        <v>3.9</v>
      </c>
      <c r="N190" s="14">
        <v>10.7</v>
      </c>
      <c r="O190" s="5">
        <v>835800</v>
      </c>
      <c r="P190" s="12">
        <v>543.5</v>
      </c>
      <c r="Q190" s="9">
        <v>300</v>
      </c>
      <c r="R190" s="12">
        <v>731.5</v>
      </c>
      <c r="S190" s="12">
        <v>175</v>
      </c>
      <c r="T190" s="12">
        <v>616</v>
      </c>
    </row>
    <row r="191" spans="1:20" ht="12.75">
      <c r="A191" s="2">
        <v>39375</v>
      </c>
      <c r="B191" s="6">
        <v>13522.02</v>
      </c>
      <c r="C191" s="3">
        <v>4.75</v>
      </c>
      <c r="D191" s="3">
        <v>2.76</v>
      </c>
      <c r="E191" s="6">
        <v>6527.9</v>
      </c>
      <c r="F191" s="10">
        <v>2.048</v>
      </c>
      <c r="G191" s="10">
        <v>1.436</v>
      </c>
      <c r="H191" s="3">
        <v>764.14</v>
      </c>
      <c r="I191" s="11">
        <v>84.11</v>
      </c>
      <c r="J191">
        <v>5.75</v>
      </c>
      <c r="K191" s="3">
        <v>1.8</v>
      </c>
      <c r="L191" s="3">
        <v>7.75</v>
      </c>
      <c r="M191" s="6">
        <v>3.9</v>
      </c>
      <c r="N191" s="14">
        <v>10.7</v>
      </c>
      <c r="O191" s="5">
        <v>835800</v>
      </c>
      <c r="P191" s="12">
        <v>536.5</v>
      </c>
      <c r="Q191" s="12">
        <v>292.5</v>
      </c>
      <c r="R191" s="9">
        <v>734</v>
      </c>
      <c r="S191" s="12">
        <v>175</v>
      </c>
      <c r="T191" s="12">
        <v>611</v>
      </c>
    </row>
    <row r="192" spans="1:20" ht="12.75">
      <c r="A192" s="2">
        <v>39378</v>
      </c>
      <c r="B192" s="6">
        <v>13565.3</v>
      </c>
      <c r="C192" s="3">
        <v>4.75</v>
      </c>
      <c r="D192" s="3">
        <v>2.76</v>
      </c>
      <c r="E192" s="6">
        <v>6459.3</v>
      </c>
      <c r="F192" s="10">
        <v>2.027</v>
      </c>
      <c r="G192" s="7">
        <v>1.435</v>
      </c>
      <c r="H192" s="3">
        <v>751.25</v>
      </c>
      <c r="I192" s="11">
        <v>83.07</v>
      </c>
      <c r="J192">
        <v>5.75</v>
      </c>
      <c r="K192" s="3">
        <v>1.8</v>
      </c>
      <c r="L192" s="3">
        <v>7.75</v>
      </c>
      <c r="M192" s="6">
        <v>3.9</v>
      </c>
      <c r="N192" s="14">
        <v>10.7</v>
      </c>
      <c r="O192" s="5">
        <v>835800</v>
      </c>
      <c r="P192" s="12">
        <v>530</v>
      </c>
      <c r="Q192" s="12">
        <v>297.25</v>
      </c>
      <c r="R192" s="12">
        <v>730</v>
      </c>
      <c r="S192" s="12">
        <v>179.75</v>
      </c>
      <c r="T192" s="12">
        <v>605</v>
      </c>
    </row>
    <row r="193" spans="1:20" ht="12.75">
      <c r="A193" s="2">
        <v>39379</v>
      </c>
      <c r="B193" s="8">
        <v>13676.2</v>
      </c>
      <c r="C193" s="3">
        <v>4.75</v>
      </c>
      <c r="D193" s="3">
        <v>2.76</v>
      </c>
      <c r="E193" s="8">
        <v>6514</v>
      </c>
      <c r="F193" s="10">
        <v>2.049</v>
      </c>
      <c r="G193" s="10">
        <v>1.439</v>
      </c>
      <c r="H193" s="11">
        <v>758.25</v>
      </c>
      <c r="I193" s="18">
        <v>82.82</v>
      </c>
      <c r="J193">
        <v>5.75</v>
      </c>
      <c r="K193" s="3">
        <v>1.8</v>
      </c>
      <c r="L193" s="3">
        <v>7.75</v>
      </c>
      <c r="M193" s="6">
        <v>3.9</v>
      </c>
      <c r="N193" s="14">
        <v>10.7</v>
      </c>
      <c r="O193" s="5">
        <v>835800</v>
      </c>
      <c r="P193" s="9">
        <v>531</v>
      </c>
      <c r="Q193" s="9">
        <v>299.5</v>
      </c>
      <c r="R193" s="9">
        <v>744.5</v>
      </c>
      <c r="S193" s="12">
        <v>177.5</v>
      </c>
      <c r="T193" s="9">
        <v>612</v>
      </c>
    </row>
    <row r="194" spans="1:20" ht="12.75">
      <c r="A194" s="2">
        <v>39380</v>
      </c>
      <c r="B194" s="6">
        <v>13529.6</v>
      </c>
      <c r="C194" s="3">
        <v>4.75</v>
      </c>
      <c r="D194" s="3">
        <v>2.76</v>
      </c>
      <c r="E194" s="6">
        <v>6482</v>
      </c>
      <c r="F194" s="15">
        <v>2.048</v>
      </c>
      <c r="G194" s="7">
        <v>1.439</v>
      </c>
      <c r="H194" s="3">
        <v>758.25</v>
      </c>
      <c r="I194" s="11">
        <v>84.06</v>
      </c>
      <c r="J194">
        <v>5.75</v>
      </c>
      <c r="K194" s="3">
        <v>1.8</v>
      </c>
      <c r="L194" s="3">
        <v>7.75</v>
      </c>
      <c r="M194" s="6">
        <v>3.9</v>
      </c>
      <c r="N194" s="14">
        <v>10.7</v>
      </c>
      <c r="O194" s="5">
        <v>835800</v>
      </c>
      <c r="P194" s="12">
        <v>527.5</v>
      </c>
      <c r="Q194" s="12">
        <v>296.75</v>
      </c>
      <c r="R194" s="12">
        <v>744.5</v>
      </c>
      <c r="S194" s="9">
        <v>178.25</v>
      </c>
      <c r="T194" s="12">
        <v>611.5</v>
      </c>
    </row>
    <row r="195" spans="1:20" ht="12.75">
      <c r="A195" s="2">
        <v>39381</v>
      </c>
      <c r="B195" s="8">
        <v>13602.8</v>
      </c>
      <c r="C195" s="3">
        <v>4.75</v>
      </c>
      <c r="D195" s="3">
        <v>2.76</v>
      </c>
      <c r="E195" s="8">
        <v>6576.3</v>
      </c>
      <c r="F195" s="10">
        <v>2.05</v>
      </c>
      <c r="G195" s="15">
        <v>1.433</v>
      </c>
      <c r="H195" s="11">
        <v>767.5</v>
      </c>
      <c r="I195" s="11">
        <v>86.14</v>
      </c>
      <c r="J195">
        <v>5.75</v>
      </c>
      <c r="K195" s="3">
        <v>1.8</v>
      </c>
      <c r="L195" s="3">
        <v>7.75</v>
      </c>
      <c r="M195" s="6">
        <v>3.9</v>
      </c>
      <c r="N195" s="14">
        <v>10.7</v>
      </c>
      <c r="O195" s="5">
        <v>835800</v>
      </c>
      <c r="P195" s="9">
        <v>529.5</v>
      </c>
      <c r="Q195" s="9">
        <v>302.5</v>
      </c>
      <c r="R195" s="9">
        <v>779</v>
      </c>
      <c r="S195" s="9">
        <v>189.75</v>
      </c>
      <c r="T195" s="9">
        <v>612.5</v>
      </c>
    </row>
    <row r="196" spans="1:20" ht="12.75">
      <c r="A196" s="2">
        <v>39382</v>
      </c>
      <c r="B196" s="8">
        <v>13806.7</v>
      </c>
      <c r="C196" s="3">
        <v>4.75</v>
      </c>
      <c r="D196" s="3">
        <v>2.76</v>
      </c>
      <c r="E196" s="8">
        <v>6661.3</v>
      </c>
      <c r="F196" s="10">
        <v>2.051</v>
      </c>
      <c r="G196" s="15">
        <v>1.426</v>
      </c>
      <c r="H196" s="11">
        <v>779.15</v>
      </c>
      <c r="I196" s="11">
        <v>87.48</v>
      </c>
      <c r="J196">
        <v>5.75</v>
      </c>
      <c r="K196" s="3">
        <v>1.8</v>
      </c>
      <c r="L196" s="3">
        <v>7.75</v>
      </c>
      <c r="M196" s="6">
        <v>3.9</v>
      </c>
      <c r="N196" s="14">
        <v>10.7</v>
      </c>
      <c r="O196" s="5">
        <v>835800</v>
      </c>
      <c r="P196" s="9">
        <v>534</v>
      </c>
      <c r="Q196" s="12">
        <v>297.75</v>
      </c>
      <c r="R196" s="9">
        <v>784.5</v>
      </c>
      <c r="S196" s="9">
        <v>193.5</v>
      </c>
      <c r="T196" s="9">
        <v>629</v>
      </c>
    </row>
    <row r="197" spans="1:20" ht="12.75">
      <c r="A197" s="2">
        <v>39385</v>
      </c>
      <c r="B197" s="8">
        <v>13870.6</v>
      </c>
      <c r="C197" s="3">
        <v>4.75</v>
      </c>
      <c r="D197" s="3">
        <v>2.76</v>
      </c>
      <c r="E197" s="8">
        <v>6706</v>
      </c>
      <c r="F197" s="10">
        <v>2.062</v>
      </c>
      <c r="G197" s="10">
        <v>1.43</v>
      </c>
      <c r="H197" s="11">
        <v>788.5</v>
      </c>
      <c r="I197" s="11">
        <v>89.64</v>
      </c>
      <c r="J197">
        <v>5.75</v>
      </c>
      <c r="K197" s="3">
        <v>1.8</v>
      </c>
      <c r="L197" s="3">
        <v>7.75</v>
      </c>
      <c r="M197" s="6">
        <v>3.9</v>
      </c>
      <c r="N197" s="14">
        <v>10.7</v>
      </c>
      <c r="O197" s="5">
        <v>835800</v>
      </c>
      <c r="P197" s="9">
        <v>536</v>
      </c>
      <c r="Q197" s="9">
        <v>299.5</v>
      </c>
      <c r="R197" s="12">
        <v>776</v>
      </c>
      <c r="S197" s="9">
        <v>194</v>
      </c>
      <c r="T197" s="9">
        <v>634</v>
      </c>
    </row>
    <row r="198" spans="1:20" ht="12.75">
      <c r="A198" s="2">
        <v>39386</v>
      </c>
      <c r="B198" s="6">
        <v>13842.1</v>
      </c>
      <c r="C198" s="3">
        <v>4.75</v>
      </c>
      <c r="D198" s="3">
        <v>2.76</v>
      </c>
      <c r="E198" s="6">
        <v>6659</v>
      </c>
      <c r="F198" s="10">
        <v>2.067</v>
      </c>
      <c r="G198" s="10">
        <v>1.433</v>
      </c>
      <c r="H198" s="3">
        <v>783.25</v>
      </c>
      <c r="I198" s="18">
        <v>88.69</v>
      </c>
      <c r="J198">
        <v>5.75</v>
      </c>
      <c r="K198" s="3">
        <v>1.8</v>
      </c>
      <c r="L198" s="3">
        <v>7.75</v>
      </c>
      <c r="M198" s="6">
        <v>3.9</v>
      </c>
      <c r="N198">
        <v>10.7</v>
      </c>
      <c r="O198" s="5">
        <v>835800</v>
      </c>
      <c r="P198" s="12">
        <v>536</v>
      </c>
      <c r="Q198" s="12">
        <v>295.25</v>
      </c>
      <c r="R198" s="12">
        <v>768</v>
      </c>
      <c r="S198" s="12">
        <v>189.34</v>
      </c>
      <c r="T198" s="12">
        <v>622.5</v>
      </c>
    </row>
    <row r="199" spans="1:20" ht="12.75">
      <c r="A199" s="2">
        <v>39387</v>
      </c>
      <c r="B199" s="8">
        <v>13954.6</v>
      </c>
      <c r="C199" s="3">
        <v>4.75</v>
      </c>
      <c r="D199" s="3">
        <v>2.76</v>
      </c>
      <c r="E199" s="8">
        <v>6721.6</v>
      </c>
      <c r="F199" s="10">
        <v>2.078</v>
      </c>
      <c r="G199" s="10">
        <v>1.437</v>
      </c>
      <c r="H199" s="11">
        <v>792.4</v>
      </c>
      <c r="I199" s="18">
        <v>87.44</v>
      </c>
      <c r="J199">
        <v>5.75</v>
      </c>
      <c r="K199" s="3">
        <v>1.8</v>
      </c>
      <c r="L199" s="3">
        <v>7.75</v>
      </c>
      <c r="M199" s="6">
        <v>3.9</v>
      </c>
      <c r="N199" s="14">
        <v>10.7</v>
      </c>
      <c r="O199" s="5">
        <v>835800</v>
      </c>
      <c r="P199" s="9">
        <v>545.5</v>
      </c>
      <c r="Q199" s="9">
        <v>295.75</v>
      </c>
      <c r="R199" s="9">
        <v>782</v>
      </c>
      <c r="S199" s="12">
        <v>189</v>
      </c>
      <c r="T199" s="9">
        <v>625</v>
      </c>
    </row>
    <row r="200" spans="1:20" ht="12.75">
      <c r="A200" s="2">
        <v>39388</v>
      </c>
      <c r="B200" s="6">
        <v>13567.8</v>
      </c>
      <c r="C200" s="3">
        <v>4.75</v>
      </c>
      <c r="D200" s="3">
        <v>2.76</v>
      </c>
      <c r="E200" s="6">
        <v>6586.1</v>
      </c>
      <c r="F200" s="10">
        <v>2.084</v>
      </c>
      <c r="G200" s="10">
        <v>1.442</v>
      </c>
      <c r="H200" s="3">
        <v>790.25</v>
      </c>
      <c r="I200" s="11">
        <v>89.98</v>
      </c>
      <c r="J200">
        <v>5.75</v>
      </c>
      <c r="K200" s="3">
        <v>1.8</v>
      </c>
      <c r="L200" s="3">
        <v>7.75</v>
      </c>
      <c r="M200" s="6">
        <v>3.9</v>
      </c>
      <c r="N200" s="14">
        <v>10.7</v>
      </c>
      <c r="O200" s="5">
        <v>835800</v>
      </c>
      <c r="P200" s="9">
        <v>531</v>
      </c>
      <c r="Q200" s="12">
        <v>289.25</v>
      </c>
      <c r="R200" s="12">
        <v>754</v>
      </c>
      <c r="S200" s="12">
        <v>183.5</v>
      </c>
      <c r="T200" s="12">
        <v>618.5</v>
      </c>
    </row>
    <row r="201" spans="1:20" ht="12.75">
      <c r="A201" s="2">
        <v>39389</v>
      </c>
      <c r="B201" s="8">
        <v>13595.1</v>
      </c>
      <c r="C201" s="3">
        <v>4.75</v>
      </c>
      <c r="D201" s="3">
        <v>2.76</v>
      </c>
      <c r="E201" s="6">
        <v>6530.6</v>
      </c>
      <c r="F201" s="10">
        <v>2.089</v>
      </c>
      <c r="G201" s="15">
        <v>1.438</v>
      </c>
      <c r="H201" s="3">
        <v>790.25</v>
      </c>
      <c r="I201" s="11">
        <v>91.51</v>
      </c>
      <c r="J201">
        <v>5.75</v>
      </c>
      <c r="K201" s="3">
        <v>1.8</v>
      </c>
      <c r="L201" s="3">
        <v>7.75</v>
      </c>
      <c r="M201" s="6">
        <v>3.9</v>
      </c>
      <c r="N201" s="14">
        <v>10.7</v>
      </c>
      <c r="O201" s="5">
        <v>835800</v>
      </c>
      <c r="P201" s="12">
        <v>517.5</v>
      </c>
      <c r="Q201" s="9">
        <v>292.25</v>
      </c>
      <c r="R201" s="12">
        <v>754</v>
      </c>
      <c r="S201" s="9">
        <v>184</v>
      </c>
      <c r="T201" s="9">
        <v>627</v>
      </c>
    </row>
    <row r="202" spans="1:20" ht="12.75">
      <c r="A202" s="2">
        <v>39392</v>
      </c>
      <c r="B202" s="6">
        <v>13525.4</v>
      </c>
      <c r="C202" s="3">
        <v>4.75</v>
      </c>
      <c r="D202" s="3">
        <v>2.76</v>
      </c>
      <c r="E202" s="6">
        <v>6461.4</v>
      </c>
      <c r="F202" s="15">
        <v>2.08</v>
      </c>
      <c r="G202" s="15">
        <v>1.437</v>
      </c>
      <c r="H202" s="11">
        <v>804.75</v>
      </c>
      <c r="I202" s="11">
        <v>91.99</v>
      </c>
      <c r="J202">
        <v>5.75</v>
      </c>
      <c r="K202" s="3">
        <v>1.8</v>
      </c>
      <c r="L202" s="3">
        <v>7.75</v>
      </c>
      <c r="M202" s="6">
        <v>3.9</v>
      </c>
      <c r="N202" s="14">
        <v>10.7</v>
      </c>
      <c r="O202" s="5">
        <v>835800</v>
      </c>
      <c r="P202" s="12">
        <v>508</v>
      </c>
      <c r="Q202" s="12">
        <v>283.5</v>
      </c>
      <c r="R202" s="12">
        <v>739.5</v>
      </c>
      <c r="S202" s="9">
        <v>188.25</v>
      </c>
      <c r="T202" s="9">
        <v>632</v>
      </c>
    </row>
    <row r="203" spans="1:20" ht="12.75">
      <c r="A203" s="2">
        <v>39393</v>
      </c>
      <c r="B203" s="8">
        <v>13660.9</v>
      </c>
      <c r="C203" s="3">
        <v>4.75</v>
      </c>
      <c r="D203" s="3">
        <v>2.76</v>
      </c>
      <c r="E203" s="8">
        <v>6474.9</v>
      </c>
      <c r="F203" s="10">
        <v>2.086</v>
      </c>
      <c r="G203" s="15">
        <v>1.433</v>
      </c>
      <c r="H203" s="11">
        <v>822.5</v>
      </c>
      <c r="I203" s="11">
        <v>92.95</v>
      </c>
      <c r="J203">
        <v>5.75</v>
      </c>
      <c r="K203" s="3">
        <v>1.8</v>
      </c>
      <c r="L203" s="3">
        <v>7.75</v>
      </c>
      <c r="M203" s="6">
        <v>3.9</v>
      </c>
      <c r="N203" s="14">
        <v>10.7</v>
      </c>
      <c r="O203" s="5">
        <v>835800</v>
      </c>
      <c r="P203" s="9">
        <v>510</v>
      </c>
      <c r="Q203" s="12">
        <v>280.5</v>
      </c>
      <c r="R203" s="9">
        <v>744.5</v>
      </c>
      <c r="S203" s="12">
        <v>186.5</v>
      </c>
      <c r="T203" s="9">
        <v>633.5</v>
      </c>
    </row>
    <row r="204" spans="1:20" ht="12.75">
      <c r="A204" s="2">
        <v>39394</v>
      </c>
      <c r="B204" s="6">
        <v>13403.1</v>
      </c>
      <c r="C204" s="3">
        <v>4.75</v>
      </c>
      <c r="D204" s="3">
        <v>2.76</v>
      </c>
      <c r="E204" s="6">
        <v>6385.1</v>
      </c>
      <c r="F204" s="15">
        <v>2.104</v>
      </c>
      <c r="G204" s="10">
        <v>1.436</v>
      </c>
      <c r="H204" s="3">
        <v>822.5</v>
      </c>
      <c r="I204" s="18">
        <v>92.37</v>
      </c>
      <c r="J204">
        <v>5.75</v>
      </c>
      <c r="K204" s="3">
        <v>1.8</v>
      </c>
      <c r="L204" s="3">
        <v>7.75</v>
      </c>
      <c r="M204" s="6">
        <v>3.9</v>
      </c>
      <c r="N204" s="14">
        <v>10.7</v>
      </c>
      <c r="O204" s="5">
        <v>835800</v>
      </c>
      <c r="P204" s="12">
        <v>502</v>
      </c>
      <c r="Q204" s="12">
        <v>269.25</v>
      </c>
      <c r="R204" s="12">
        <v>714.5</v>
      </c>
      <c r="S204" s="12">
        <v>182.75</v>
      </c>
      <c r="T204" s="12">
        <v>624</v>
      </c>
    </row>
    <row r="205" spans="1:20" ht="12.75">
      <c r="A205" s="2">
        <v>39395</v>
      </c>
      <c r="B205" s="6">
        <v>13215.1</v>
      </c>
      <c r="C205" s="3">
        <v>4.75</v>
      </c>
      <c r="D205" s="3">
        <v>2.76</v>
      </c>
      <c r="E205" s="6">
        <v>6381.9</v>
      </c>
      <c r="F205" s="10">
        <v>2.11</v>
      </c>
      <c r="G205" s="10">
        <v>1.438</v>
      </c>
      <c r="H205" s="11">
        <v>834.5</v>
      </c>
      <c r="I205" s="11">
        <v>93.33</v>
      </c>
      <c r="J205">
        <v>5.75</v>
      </c>
      <c r="K205" s="3">
        <v>1.8</v>
      </c>
      <c r="L205" s="3">
        <v>7.75</v>
      </c>
      <c r="M205" s="6">
        <v>3.9</v>
      </c>
      <c r="N205" s="16">
        <v>8.9</v>
      </c>
      <c r="O205" s="5">
        <v>835800</v>
      </c>
      <c r="P205" s="12">
        <v>483.5</v>
      </c>
      <c r="Q205" s="9">
        <v>271.25</v>
      </c>
      <c r="R205" s="12">
        <v>699</v>
      </c>
      <c r="S205" s="12">
        <v>181.25</v>
      </c>
      <c r="T205" s="12">
        <v>609</v>
      </c>
    </row>
    <row r="206" spans="1:20" ht="12.75">
      <c r="A206" s="2">
        <v>39396</v>
      </c>
      <c r="B206" s="6">
        <v>13042.7</v>
      </c>
      <c r="C206" s="3">
        <v>4.75</v>
      </c>
      <c r="D206" s="3">
        <v>2.76</v>
      </c>
      <c r="E206" s="6">
        <v>6304.9</v>
      </c>
      <c r="F206" s="10">
        <v>2.092</v>
      </c>
      <c r="G206" s="15">
        <v>1.426</v>
      </c>
      <c r="H206" s="3">
        <v>834.5</v>
      </c>
      <c r="I206" s="11">
        <v>93.11</v>
      </c>
      <c r="J206">
        <v>5.75</v>
      </c>
      <c r="K206" s="17">
        <v>2.1</v>
      </c>
      <c r="L206" s="3">
        <v>7.75</v>
      </c>
      <c r="M206" s="6">
        <v>3.9</v>
      </c>
      <c r="N206" s="14">
        <v>8.9</v>
      </c>
      <c r="O206" s="5">
        <v>835800</v>
      </c>
      <c r="P206" s="12">
        <v>474.5</v>
      </c>
      <c r="Q206" s="12">
        <v>264.75</v>
      </c>
      <c r="R206" s="12">
        <v>678</v>
      </c>
      <c r="S206" s="12">
        <v>179.25</v>
      </c>
      <c r="T206" s="12">
        <v>598.5</v>
      </c>
    </row>
    <row r="207" spans="1:20" ht="12.75">
      <c r="A207" s="2">
        <v>39399</v>
      </c>
      <c r="B207" s="8">
        <v>13154.7</v>
      </c>
      <c r="C207" s="3">
        <v>4.75</v>
      </c>
      <c r="D207" s="3">
        <v>2.76</v>
      </c>
      <c r="E207" s="8">
        <v>6337.9</v>
      </c>
      <c r="F207" s="15">
        <v>2.063</v>
      </c>
      <c r="G207" s="15">
        <v>1.418</v>
      </c>
      <c r="H207" s="3">
        <v>834.5</v>
      </c>
      <c r="I207" s="11">
        <v>93.33</v>
      </c>
      <c r="J207">
        <v>5.75</v>
      </c>
      <c r="K207" s="3">
        <v>2.1</v>
      </c>
      <c r="L207" s="3">
        <v>7.75</v>
      </c>
      <c r="M207" s="6">
        <v>3.9</v>
      </c>
      <c r="N207" s="14">
        <v>8.9</v>
      </c>
      <c r="O207" s="5">
        <v>835800</v>
      </c>
      <c r="P207" s="9">
        <v>487.5</v>
      </c>
      <c r="Q207" s="9">
        <v>265.75</v>
      </c>
      <c r="R207" s="9">
        <v>686</v>
      </c>
      <c r="S207" s="9">
        <v>182</v>
      </c>
      <c r="T207" s="12">
        <v>586.5</v>
      </c>
    </row>
    <row r="208" spans="1:20" ht="12.75">
      <c r="A208" s="2">
        <v>39400</v>
      </c>
      <c r="B208" s="8">
        <v>13307</v>
      </c>
      <c r="C208" s="3">
        <v>4.75</v>
      </c>
      <c r="D208" s="3">
        <v>2.76</v>
      </c>
      <c r="E208" s="8">
        <v>6362.4</v>
      </c>
      <c r="F208" s="10">
        <v>2.073</v>
      </c>
      <c r="G208" s="10">
        <v>1.42</v>
      </c>
      <c r="H208" s="3">
        <v>804.25</v>
      </c>
      <c r="I208" s="11">
        <v>88.68</v>
      </c>
      <c r="J208">
        <v>5.75</v>
      </c>
      <c r="K208" s="3">
        <v>2.1</v>
      </c>
      <c r="L208" s="3">
        <v>7.75</v>
      </c>
      <c r="M208" s="16">
        <v>4.2</v>
      </c>
      <c r="N208" s="14">
        <v>8.9</v>
      </c>
      <c r="O208" s="5">
        <v>835800</v>
      </c>
      <c r="P208" s="9">
        <v>497.5</v>
      </c>
      <c r="Q208" s="9">
        <v>276.5</v>
      </c>
      <c r="R208" s="9">
        <v>691.5</v>
      </c>
      <c r="S208" s="9">
        <v>195.75</v>
      </c>
      <c r="T208" s="12">
        <v>583</v>
      </c>
    </row>
    <row r="209" spans="1:20" ht="12.75">
      <c r="A209" s="2">
        <v>39401</v>
      </c>
      <c r="B209" s="6">
        <v>13223.9</v>
      </c>
      <c r="C209" s="3">
        <v>4.75</v>
      </c>
      <c r="D209" s="3">
        <v>2.76</v>
      </c>
      <c r="E209" s="6">
        <v>6432.1</v>
      </c>
      <c r="F209" s="15">
        <v>2.058</v>
      </c>
      <c r="G209" s="15">
        <v>1.402</v>
      </c>
      <c r="H209" s="3">
        <v>804.25</v>
      </c>
      <c r="I209" s="11">
        <v>91.05</v>
      </c>
      <c r="J209">
        <v>5.75</v>
      </c>
      <c r="K209" s="3">
        <v>2.1</v>
      </c>
      <c r="L209" s="3">
        <v>7.75</v>
      </c>
      <c r="M209" s="6">
        <v>4.2</v>
      </c>
      <c r="N209" s="14">
        <v>8.9</v>
      </c>
      <c r="O209" s="13">
        <v>824800</v>
      </c>
      <c r="P209" s="9">
        <v>499.5</v>
      </c>
      <c r="Q209" s="9">
        <v>281.75</v>
      </c>
      <c r="R209" s="9">
        <v>692</v>
      </c>
      <c r="S209" s="12">
        <v>191.75</v>
      </c>
      <c r="T209" s="9">
        <v>599.5</v>
      </c>
    </row>
    <row r="210" spans="1:20" ht="12.75">
      <c r="A210" s="2">
        <v>39402</v>
      </c>
      <c r="B210" s="6">
        <v>13107</v>
      </c>
      <c r="C210" s="3">
        <v>4.75</v>
      </c>
      <c r="D210" s="3">
        <v>2.76</v>
      </c>
      <c r="E210" s="6">
        <v>6359.6</v>
      </c>
      <c r="F210" s="15">
        <v>2.045</v>
      </c>
      <c r="G210" s="15">
        <v>1.397</v>
      </c>
      <c r="H210" s="3">
        <v>794</v>
      </c>
      <c r="I210" s="18">
        <v>90.71</v>
      </c>
      <c r="J210">
        <v>5.75</v>
      </c>
      <c r="K210" s="3">
        <v>2.1</v>
      </c>
      <c r="L210" s="3">
        <v>7.75</v>
      </c>
      <c r="M210" s="6">
        <v>4.2</v>
      </c>
      <c r="N210" s="14">
        <v>8.9</v>
      </c>
      <c r="O210" s="5">
        <v>824800</v>
      </c>
      <c r="P210" s="12">
        <v>491.75</v>
      </c>
      <c r="Q210" s="12">
        <v>280.25</v>
      </c>
      <c r="R210" s="12">
        <v>676</v>
      </c>
      <c r="S210" s="9">
        <v>193</v>
      </c>
      <c r="T210" s="12">
        <v>586</v>
      </c>
    </row>
    <row r="211" spans="1:20" ht="12.75">
      <c r="A211" s="2">
        <v>39403</v>
      </c>
      <c r="B211" s="8">
        <v>13177.8</v>
      </c>
      <c r="C211" s="3">
        <v>4.75</v>
      </c>
      <c r="D211" s="3">
        <v>2.76</v>
      </c>
      <c r="E211" s="6">
        <v>6291.2</v>
      </c>
      <c r="F211" s="10">
        <v>2.052</v>
      </c>
      <c r="G211" s="10">
        <v>1.399</v>
      </c>
      <c r="H211" s="3">
        <v>794</v>
      </c>
      <c r="I211" s="11">
        <v>91.15</v>
      </c>
      <c r="J211">
        <v>5.75</v>
      </c>
      <c r="K211" s="3">
        <v>2.1</v>
      </c>
      <c r="L211" s="3">
        <v>7.75</v>
      </c>
      <c r="M211" s="6">
        <v>4.2</v>
      </c>
      <c r="N211" s="14">
        <v>8.9</v>
      </c>
      <c r="O211" s="5">
        <v>824800</v>
      </c>
      <c r="P211" s="12">
        <v>481.25</v>
      </c>
      <c r="Q211" s="9">
        <v>283.5</v>
      </c>
      <c r="R211" s="12">
        <v>658</v>
      </c>
      <c r="S211" s="12">
        <v>191.25</v>
      </c>
      <c r="T211" s="9">
        <v>587</v>
      </c>
    </row>
    <row r="212" spans="1:20" ht="12.75">
      <c r="A212" s="2">
        <v>39406</v>
      </c>
      <c r="B212" s="6">
        <v>12958.4</v>
      </c>
      <c r="C212" s="3">
        <v>4.75</v>
      </c>
      <c r="D212" s="17">
        <v>3.54</v>
      </c>
      <c r="E212" s="6">
        <v>6120.8</v>
      </c>
      <c r="F212" s="15">
        <v>2.048</v>
      </c>
      <c r="G212" s="15">
        <v>1.397</v>
      </c>
      <c r="H212" s="3">
        <v>778.85</v>
      </c>
      <c r="I212" s="11">
        <v>91.95</v>
      </c>
      <c r="J212">
        <v>5.75</v>
      </c>
      <c r="K212" s="3">
        <v>2.1</v>
      </c>
      <c r="L212" s="3">
        <v>7.75</v>
      </c>
      <c r="M212" s="6">
        <v>4.2</v>
      </c>
      <c r="N212" s="14">
        <v>8.9</v>
      </c>
      <c r="O212" s="5">
        <v>824800</v>
      </c>
      <c r="P212" s="12">
        <v>466.75</v>
      </c>
      <c r="Q212" s="12">
        <v>278.5</v>
      </c>
      <c r="R212" s="12">
        <v>630</v>
      </c>
      <c r="S212" s="12">
        <v>189.5</v>
      </c>
      <c r="T212" s="12">
        <v>572.5</v>
      </c>
    </row>
    <row r="213" spans="1:20" ht="12.75">
      <c r="A213" s="2">
        <v>39407</v>
      </c>
      <c r="B213" s="8">
        <v>13010.1</v>
      </c>
      <c r="C213" s="3">
        <v>4.75</v>
      </c>
      <c r="D213" s="3">
        <v>3.54</v>
      </c>
      <c r="E213" s="8">
        <v>6226.5</v>
      </c>
      <c r="F213" s="15">
        <v>2.063</v>
      </c>
      <c r="G213" s="15">
        <v>1.395</v>
      </c>
      <c r="H213" s="11">
        <v>795.5</v>
      </c>
      <c r="I213" s="11">
        <v>94.85</v>
      </c>
      <c r="J213">
        <v>5.75</v>
      </c>
      <c r="K213" s="3">
        <v>2.1</v>
      </c>
      <c r="L213" s="3">
        <v>7.75</v>
      </c>
      <c r="M213" s="6">
        <v>4.2</v>
      </c>
      <c r="N213" s="14">
        <v>8.9</v>
      </c>
      <c r="O213" s="5">
        <v>824800</v>
      </c>
      <c r="P213" s="9">
        <v>472</v>
      </c>
      <c r="Q213" s="9">
        <v>282.25</v>
      </c>
      <c r="R213" s="9">
        <v>649</v>
      </c>
      <c r="S213" s="9">
        <v>192.5</v>
      </c>
      <c r="T213" s="9">
        <v>580</v>
      </c>
    </row>
    <row r="214" spans="1:20" ht="12.75">
      <c r="A214" s="2">
        <v>39408</v>
      </c>
      <c r="B214" s="6">
        <v>12928</v>
      </c>
      <c r="C214" s="3">
        <v>4.75</v>
      </c>
      <c r="D214" s="3">
        <v>3.54</v>
      </c>
      <c r="E214" s="6">
        <v>6079.9</v>
      </c>
      <c r="F214" s="15">
        <v>2.059</v>
      </c>
      <c r="G214" s="15">
        <v>1.389</v>
      </c>
      <c r="H214" s="3">
        <v>795.5</v>
      </c>
      <c r="I214" s="18">
        <v>94.63</v>
      </c>
      <c r="J214">
        <v>5.75</v>
      </c>
      <c r="K214" s="3">
        <v>2.1</v>
      </c>
      <c r="L214" s="3">
        <v>7.75</v>
      </c>
      <c r="M214" s="6">
        <v>4.2</v>
      </c>
      <c r="N214" s="14">
        <v>8.9</v>
      </c>
      <c r="O214" s="5">
        <v>824800</v>
      </c>
      <c r="P214" s="12">
        <v>451.25</v>
      </c>
      <c r="Q214" s="12">
        <v>271</v>
      </c>
      <c r="R214" s="12">
        <v>618</v>
      </c>
      <c r="S214" s="12">
        <v>183.5</v>
      </c>
      <c r="T214" s="12">
        <v>577.5</v>
      </c>
    </row>
    <row r="215" spans="1:20" ht="12.75">
      <c r="A215" s="2">
        <v>39409</v>
      </c>
      <c r="B215" s="6"/>
      <c r="C215" s="3">
        <v>4.75</v>
      </c>
      <c r="D215" s="3">
        <v>3.54</v>
      </c>
      <c r="E215" s="8">
        <v>6155.3</v>
      </c>
      <c r="F215" s="10">
        <v>2.061</v>
      </c>
      <c r="G215" s="15">
        <v>1.388</v>
      </c>
      <c r="H215" s="11">
        <v>803.25</v>
      </c>
      <c r="I215" s="18">
        <v>94.27</v>
      </c>
      <c r="J215">
        <v>5.75</v>
      </c>
      <c r="K215" s="3">
        <v>2.1</v>
      </c>
      <c r="L215" s="3">
        <v>7.75</v>
      </c>
      <c r="M215" s="6">
        <v>4.2</v>
      </c>
      <c r="N215" s="14">
        <v>8.9</v>
      </c>
      <c r="O215" s="5">
        <v>824800</v>
      </c>
      <c r="P215" s="9">
        <v>457</v>
      </c>
      <c r="Q215" s="9">
        <v>293.5</v>
      </c>
      <c r="R215" s="9">
        <v>627.5</v>
      </c>
      <c r="S215" s="9">
        <v>187.5</v>
      </c>
      <c r="T215" s="12">
        <v>576</v>
      </c>
    </row>
    <row r="216" spans="1:20" ht="12.75">
      <c r="A216" s="2">
        <v>39413</v>
      </c>
      <c r="B216" s="6">
        <v>12743.4</v>
      </c>
      <c r="C216" s="3">
        <v>4.75</v>
      </c>
      <c r="D216" s="3">
        <v>3.54</v>
      </c>
      <c r="E216" s="8">
        <v>6180.5</v>
      </c>
      <c r="F216" s="10">
        <v>2.069</v>
      </c>
      <c r="G216" s="10">
        <v>1.392</v>
      </c>
      <c r="H216" s="11">
        <v>830</v>
      </c>
      <c r="I216" s="11">
        <v>95.18</v>
      </c>
      <c r="J216">
        <v>5.75</v>
      </c>
      <c r="K216" s="3">
        <v>2.1</v>
      </c>
      <c r="L216" s="3">
        <v>7.75</v>
      </c>
      <c r="M216" s="6">
        <v>4.2</v>
      </c>
      <c r="N216" s="14">
        <v>8.9</v>
      </c>
      <c r="O216" s="5">
        <v>824800</v>
      </c>
      <c r="P216" s="12">
        <v>455.5</v>
      </c>
      <c r="Q216" s="9">
        <v>299</v>
      </c>
      <c r="R216" s="9">
        <v>632</v>
      </c>
      <c r="S216" s="12">
        <v>183.5</v>
      </c>
      <c r="T216" s="12">
        <v>573.5</v>
      </c>
    </row>
    <row r="217" spans="1:20" ht="12.75">
      <c r="A217" s="2">
        <v>39414</v>
      </c>
      <c r="B217" s="8">
        <v>12972.7</v>
      </c>
      <c r="C217" s="3">
        <v>4.75</v>
      </c>
      <c r="D217" s="3">
        <v>3.54</v>
      </c>
      <c r="E217" s="6">
        <v>6150.7</v>
      </c>
      <c r="F217" s="15">
        <v>2.066</v>
      </c>
      <c r="G217" s="10">
        <v>1.394</v>
      </c>
      <c r="H217" s="3">
        <v>810.75</v>
      </c>
      <c r="I217" s="18">
        <v>92.96</v>
      </c>
      <c r="J217">
        <v>5.75</v>
      </c>
      <c r="K217" s="3">
        <v>2.1</v>
      </c>
      <c r="L217" s="3">
        <v>7.75</v>
      </c>
      <c r="M217" s="6">
        <v>4.2</v>
      </c>
      <c r="N217" s="14">
        <v>8.9</v>
      </c>
      <c r="O217" s="5">
        <v>824800</v>
      </c>
      <c r="P217" s="12">
        <v>454</v>
      </c>
      <c r="Q217" s="9">
        <v>299</v>
      </c>
      <c r="R217" s="12">
        <v>624</v>
      </c>
      <c r="S217" s="12">
        <v>180.75</v>
      </c>
      <c r="T217" s="12">
        <v>569</v>
      </c>
    </row>
    <row r="218" spans="1:20" ht="12.75">
      <c r="A218" s="2">
        <v>39415</v>
      </c>
      <c r="B218" s="6"/>
      <c r="C218" s="3">
        <v>4.75</v>
      </c>
      <c r="D218" s="3">
        <v>3.54</v>
      </c>
      <c r="E218" s="8">
        <v>6306.2</v>
      </c>
      <c r="F218" s="10">
        <v>2.071</v>
      </c>
      <c r="G218" s="10">
        <v>1.403</v>
      </c>
      <c r="H218" s="3">
        <v>801.75</v>
      </c>
      <c r="I218" s="18">
        <v>90.67</v>
      </c>
      <c r="J218">
        <v>5.75</v>
      </c>
      <c r="K218" s="3">
        <v>2.1</v>
      </c>
      <c r="L218" s="3">
        <v>7.75</v>
      </c>
      <c r="M218" s="6">
        <v>4.2</v>
      </c>
      <c r="N218" s="14">
        <v>8.9</v>
      </c>
      <c r="O218" s="5">
        <v>824800</v>
      </c>
      <c r="P218" s="9">
        <v>473</v>
      </c>
      <c r="Q218" s="9">
        <v>305.25</v>
      </c>
      <c r="R218" s="9">
        <v>660.5</v>
      </c>
      <c r="S218" s="9">
        <v>184.5</v>
      </c>
      <c r="T218" s="9">
        <v>577.5</v>
      </c>
    </row>
    <row r="219" spans="1:20" ht="12.75">
      <c r="A219" s="2">
        <v>39416</v>
      </c>
      <c r="B219" s="8">
        <v>13280.7</v>
      </c>
      <c r="C219" s="3">
        <v>4.75</v>
      </c>
      <c r="D219" s="3">
        <v>3.54</v>
      </c>
      <c r="E219" s="8">
        <v>6349.1</v>
      </c>
      <c r="F219" s="15">
        <v>2.063</v>
      </c>
      <c r="G219" s="15">
        <v>1.397</v>
      </c>
      <c r="H219" s="3">
        <v>794.5</v>
      </c>
      <c r="I219" s="18">
        <v>90.1</v>
      </c>
      <c r="J219">
        <v>5.75</v>
      </c>
      <c r="K219" s="3">
        <v>2.1</v>
      </c>
      <c r="L219" s="3">
        <v>7.75</v>
      </c>
      <c r="M219" s="6">
        <v>4.2</v>
      </c>
      <c r="N219" s="14">
        <v>8.9</v>
      </c>
      <c r="O219" s="5">
        <v>824800</v>
      </c>
      <c r="P219" s="12">
        <v>474</v>
      </c>
      <c r="Q219" s="12">
        <v>305</v>
      </c>
      <c r="R219" s="12">
        <v>657.5</v>
      </c>
      <c r="S219" s="12">
        <v>182.5</v>
      </c>
      <c r="T219" s="9">
        <v>587.5</v>
      </c>
    </row>
    <row r="220" spans="1:20" ht="12.75">
      <c r="A220" s="2">
        <v>39417</v>
      </c>
      <c r="B220" s="8">
        <v>13386.6</v>
      </c>
      <c r="C220" s="3">
        <v>4.75</v>
      </c>
      <c r="D220" s="3">
        <v>3.54</v>
      </c>
      <c r="E220" s="8">
        <v>6432.5</v>
      </c>
      <c r="F220" s="15">
        <v>2.056</v>
      </c>
      <c r="G220" s="10">
        <v>1.4</v>
      </c>
      <c r="H220" s="3">
        <v>783.5</v>
      </c>
      <c r="I220" s="18">
        <v>88.76</v>
      </c>
      <c r="J220">
        <v>5.75</v>
      </c>
      <c r="K220" s="3">
        <v>2.1</v>
      </c>
      <c r="L220" s="3">
        <v>7.75</v>
      </c>
      <c r="M220" s="6">
        <v>4.2</v>
      </c>
      <c r="N220" s="14">
        <v>8.9</v>
      </c>
      <c r="O220" s="5">
        <v>824800</v>
      </c>
      <c r="P220" s="9">
        <v>495</v>
      </c>
      <c r="Q220" s="9">
        <v>308.5</v>
      </c>
      <c r="R220" s="9">
        <v>679</v>
      </c>
      <c r="S220" s="12">
        <v>182.25</v>
      </c>
      <c r="T220" s="9">
        <v>590</v>
      </c>
    </row>
    <row r="221" spans="1:20" ht="12.75">
      <c r="A221" s="2">
        <v>39420</v>
      </c>
      <c r="B221" s="6">
        <v>13373.7</v>
      </c>
      <c r="C221" s="3">
        <v>4.75</v>
      </c>
      <c r="D221" s="3">
        <v>3.54</v>
      </c>
      <c r="E221" s="6">
        <v>6386.6</v>
      </c>
      <c r="F221" s="10">
        <v>2.065</v>
      </c>
      <c r="G221" s="10">
        <v>1.408</v>
      </c>
      <c r="H221" s="3">
        <v>783.5</v>
      </c>
      <c r="I221" s="18">
        <v>87.93</v>
      </c>
      <c r="J221">
        <v>5.75</v>
      </c>
      <c r="K221" s="3">
        <v>2.1</v>
      </c>
      <c r="L221" s="3">
        <v>7.75</v>
      </c>
      <c r="M221" s="6">
        <v>4.2</v>
      </c>
      <c r="N221" s="14">
        <v>8.9</v>
      </c>
      <c r="O221" s="5">
        <v>824800</v>
      </c>
      <c r="P221" s="12">
        <v>490.75</v>
      </c>
      <c r="Q221" s="9">
        <v>315</v>
      </c>
      <c r="R221" s="12">
        <v>661.5</v>
      </c>
      <c r="S221" s="12">
        <v>181.75</v>
      </c>
      <c r="T221" s="12">
        <v>588.5</v>
      </c>
    </row>
    <row r="222" spans="1:20" ht="12.75">
      <c r="A222" s="2">
        <v>39421</v>
      </c>
      <c r="B222" s="6">
        <v>13298.2</v>
      </c>
      <c r="C222" s="3">
        <v>4.75</v>
      </c>
      <c r="D222" s="3">
        <v>3.54</v>
      </c>
      <c r="E222" s="6">
        <v>6315.2</v>
      </c>
      <c r="F222" s="10">
        <v>2.058</v>
      </c>
      <c r="G222" s="10">
        <v>1.394</v>
      </c>
      <c r="H222" s="3">
        <v>797.5</v>
      </c>
      <c r="I222" s="18">
        <v>89.22</v>
      </c>
      <c r="J222">
        <v>5.75</v>
      </c>
      <c r="K222" s="3">
        <v>2.1</v>
      </c>
      <c r="L222" s="3">
        <v>7.75</v>
      </c>
      <c r="M222" s="6">
        <v>4.2</v>
      </c>
      <c r="N222" s="14">
        <v>8.9</v>
      </c>
      <c r="O222" s="5">
        <v>824800</v>
      </c>
      <c r="P222" s="12">
        <v>474.25</v>
      </c>
      <c r="Q222" s="12">
        <v>314</v>
      </c>
      <c r="R222" s="12">
        <v>646.5</v>
      </c>
      <c r="S222" s="12">
        <v>181</v>
      </c>
      <c r="T222" s="12">
        <v>587.5</v>
      </c>
    </row>
    <row r="223" spans="1:20" ht="12.75">
      <c r="A223" s="2">
        <v>39422</v>
      </c>
      <c r="B223" s="8">
        <v>13445</v>
      </c>
      <c r="C223" s="3">
        <v>4.75</v>
      </c>
      <c r="D223" s="3">
        <v>3.54</v>
      </c>
      <c r="E223" s="8">
        <v>6493.8</v>
      </c>
      <c r="F223" s="15">
        <v>2.028</v>
      </c>
      <c r="G223" s="15">
        <v>1.383</v>
      </c>
      <c r="H223" s="3">
        <v>793</v>
      </c>
      <c r="I223" s="11">
        <v>89.81</v>
      </c>
      <c r="J223">
        <v>5.75</v>
      </c>
      <c r="K223" s="3">
        <v>2.1</v>
      </c>
      <c r="L223" s="3">
        <v>7.75</v>
      </c>
      <c r="M223" s="6">
        <v>4.2</v>
      </c>
      <c r="N223" s="16">
        <v>6.3</v>
      </c>
      <c r="O223" s="5">
        <v>824800</v>
      </c>
      <c r="P223" s="9">
        <v>485.5</v>
      </c>
      <c r="Q223" s="9">
        <v>316.75</v>
      </c>
      <c r="R223" s="9">
        <v>671.5</v>
      </c>
      <c r="S223" s="9">
        <v>187.25</v>
      </c>
      <c r="T223" s="9">
        <v>608.5</v>
      </c>
    </row>
    <row r="224" spans="1:20" ht="12.75">
      <c r="A224" s="2">
        <v>39423</v>
      </c>
      <c r="B224" s="8">
        <v>13561</v>
      </c>
      <c r="C224" s="3">
        <v>4.75</v>
      </c>
      <c r="D224" s="3">
        <v>3.54</v>
      </c>
      <c r="E224" s="6">
        <v>6485.6</v>
      </c>
      <c r="F224" s="10">
        <v>2.029</v>
      </c>
      <c r="G224" s="10">
        <v>1.386</v>
      </c>
      <c r="H224" s="11">
        <v>801.5</v>
      </c>
      <c r="I224" s="18">
        <v>88.66</v>
      </c>
      <c r="J224" s="19">
        <v>5.5</v>
      </c>
      <c r="K224" s="3">
        <v>2.1</v>
      </c>
      <c r="L224" s="17">
        <v>7.5</v>
      </c>
      <c r="M224" s="6">
        <v>4.2</v>
      </c>
      <c r="N224" s="14">
        <v>6.3</v>
      </c>
      <c r="O224" s="5">
        <v>824800</v>
      </c>
      <c r="P224" s="9">
        <v>487.5</v>
      </c>
      <c r="Q224" s="12">
        <v>313.5</v>
      </c>
      <c r="R224" s="9">
        <v>677.5</v>
      </c>
      <c r="S224" s="12">
        <v>186</v>
      </c>
      <c r="T224" s="9">
        <v>610</v>
      </c>
    </row>
    <row r="225" spans="1:20" ht="12.75">
      <c r="A225" s="2">
        <v>39424</v>
      </c>
      <c r="B225" s="8">
        <v>13638.8</v>
      </c>
      <c r="C225" s="3">
        <v>4.75</v>
      </c>
      <c r="D225" s="3">
        <v>3.54</v>
      </c>
      <c r="E225" s="8">
        <v>6554.9</v>
      </c>
      <c r="F225" s="10">
        <v>2.03</v>
      </c>
      <c r="G225" s="10">
        <v>1.385</v>
      </c>
      <c r="H225" s="3">
        <v>792.5</v>
      </c>
      <c r="I225" s="18">
        <v>88.42</v>
      </c>
      <c r="J225">
        <v>5.5</v>
      </c>
      <c r="K225" s="3">
        <v>2.1</v>
      </c>
      <c r="L225" s="3">
        <v>7.5</v>
      </c>
      <c r="M225" s="6">
        <v>4.2</v>
      </c>
      <c r="N225" s="14">
        <v>6.3</v>
      </c>
      <c r="O225" s="5">
        <v>824800</v>
      </c>
      <c r="P225" s="9">
        <v>488</v>
      </c>
      <c r="Q225" s="12">
        <v>311.75</v>
      </c>
      <c r="R225" s="12">
        <v>696.5</v>
      </c>
      <c r="S225" s="12">
        <v>185</v>
      </c>
      <c r="T225" s="9">
        <v>619.5</v>
      </c>
    </row>
    <row r="226" spans="1:20" ht="12.75">
      <c r="A226" s="2">
        <v>39427</v>
      </c>
      <c r="B226" s="8">
        <v>13727</v>
      </c>
      <c r="C226" s="3">
        <v>4.75</v>
      </c>
      <c r="D226" s="3">
        <v>3.54</v>
      </c>
      <c r="E226" s="8">
        <v>6565.4</v>
      </c>
      <c r="F226" s="10">
        <v>2.046</v>
      </c>
      <c r="G226" s="10">
        <v>1.391</v>
      </c>
      <c r="H226" s="3">
        <v>792.5</v>
      </c>
      <c r="I226" s="18">
        <v>87.93</v>
      </c>
      <c r="J226">
        <v>5.5</v>
      </c>
      <c r="K226" s="3">
        <v>2.1</v>
      </c>
      <c r="L226" s="3">
        <v>7.5</v>
      </c>
      <c r="M226" s="6">
        <v>4.2</v>
      </c>
      <c r="N226" s="14">
        <v>6.3</v>
      </c>
      <c r="O226" s="5">
        <v>824800</v>
      </c>
      <c r="P226" s="9">
        <v>504.5</v>
      </c>
      <c r="Q226" s="9">
        <v>312.75</v>
      </c>
      <c r="R226" s="9">
        <v>716.5</v>
      </c>
      <c r="S226" s="12">
        <v>184</v>
      </c>
      <c r="T226" s="12">
        <v>616</v>
      </c>
    </row>
    <row r="227" spans="1:20" ht="12.75">
      <c r="A227" s="2">
        <v>39428</v>
      </c>
      <c r="B227" s="6">
        <v>13541</v>
      </c>
      <c r="C227" s="3">
        <v>4.75</v>
      </c>
      <c r="D227" s="3">
        <v>3.54</v>
      </c>
      <c r="E227" s="6">
        <v>6536.9</v>
      </c>
      <c r="F227" s="10">
        <v>2.04</v>
      </c>
      <c r="G227" s="10">
        <v>1.387</v>
      </c>
      <c r="H227" s="3">
        <v>792.5</v>
      </c>
      <c r="I227" s="18">
        <v>87.67</v>
      </c>
      <c r="J227">
        <v>5.5</v>
      </c>
      <c r="K227" s="3">
        <v>2.1</v>
      </c>
      <c r="L227" s="3">
        <v>7.5</v>
      </c>
      <c r="M227" s="6">
        <v>4.2</v>
      </c>
      <c r="N227" s="14">
        <v>6.3</v>
      </c>
      <c r="O227" s="5">
        <v>824800</v>
      </c>
      <c r="P227" s="12">
        <v>498.75</v>
      </c>
      <c r="Q227" s="9">
        <v>315</v>
      </c>
      <c r="R227" s="9">
        <v>725.5</v>
      </c>
      <c r="S227" s="12">
        <v>183</v>
      </c>
      <c r="T227" s="9">
        <v>616.5</v>
      </c>
    </row>
    <row r="228" spans="1:20" ht="12.75">
      <c r="A228" s="2">
        <v>39429</v>
      </c>
      <c r="B228" s="6">
        <v>13536.5</v>
      </c>
      <c r="C228" s="3">
        <v>4.75</v>
      </c>
      <c r="D228" s="3">
        <v>3.54</v>
      </c>
      <c r="E228" s="8">
        <v>6559.8</v>
      </c>
      <c r="F228" s="10">
        <v>2.048</v>
      </c>
      <c r="G228" s="10">
        <v>1.393</v>
      </c>
      <c r="H228" s="11">
        <v>814</v>
      </c>
      <c r="I228" s="11">
        <v>92.62</v>
      </c>
      <c r="J228">
        <v>5.5</v>
      </c>
      <c r="K228" s="3">
        <v>2.1</v>
      </c>
      <c r="L228" s="3">
        <v>7.5</v>
      </c>
      <c r="M228" s="6">
        <v>4.2</v>
      </c>
      <c r="N228" s="14">
        <v>6.3</v>
      </c>
      <c r="O228" s="13">
        <v>813000</v>
      </c>
      <c r="P228" s="12">
        <v>498.75</v>
      </c>
      <c r="Q228" s="9">
        <v>320.75</v>
      </c>
      <c r="R228" s="12">
        <v>712</v>
      </c>
      <c r="S228" s="9">
        <v>186.75</v>
      </c>
      <c r="T228" s="9">
        <v>623</v>
      </c>
    </row>
    <row r="229" spans="1:20" ht="12.75">
      <c r="A229" s="2">
        <v>39430</v>
      </c>
      <c r="B229" s="6">
        <v>13518</v>
      </c>
      <c r="C229" s="3">
        <v>4.75</v>
      </c>
      <c r="D229" s="3">
        <v>3.54</v>
      </c>
      <c r="E229" s="6">
        <v>6364.2</v>
      </c>
      <c r="F229" s="15">
        <v>2.039</v>
      </c>
      <c r="G229" s="10">
        <v>1.397</v>
      </c>
      <c r="H229" s="3">
        <v>800.7</v>
      </c>
      <c r="I229" s="11">
        <v>92.74</v>
      </c>
      <c r="J229">
        <v>5.5</v>
      </c>
      <c r="K229" s="3">
        <v>2.1</v>
      </c>
      <c r="L229" s="3">
        <v>7.5</v>
      </c>
      <c r="M229" s="6">
        <v>4.2</v>
      </c>
      <c r="N229" s="14">
        <v>6.3</v>
      </c>
      <c r="O229" s="5">
        <v>813000</v>
      </c>
      <c r="P229" s="12">
        <v>471.75</v>
      </c>
      <c r="Q229" s="12">
        <v>313.75</v>
      </c>
      <c r="R229" s="12">
        <v>675</v>
      </c>
      <c r="S229" s="12">
        <v>181</v>
      </c>
      <c r="T229" s="12">
        <v>608</v>
      </c>
    </row>
    <row r="230" spans="1:20" ht="12.75">
      <c r="A230" s="2">
        <v>39431</v>
      </c>
      <c r="B230" s="6">
        <v>13339.8</v>
      </c>
      <c r="C230" s="3">
        <v>4.75</v>
      </c>
      <c r="D230" s="3">
        <v>3.54</v>
      </c>
      <c r="E230" s="6">
        <v>6397</v>
      </c>
      <c r="F230" s="15">
        <v>2.021</v>
      </c>
      <c r="G230" s="10">
        <v>1.399</v>
      </c>
      <c r="H230" s="3">
        <v>800.7</v>
      </c>
      <c r="I230" s="18">
        <v>91.75</v>
      </c>
      <c r="J230">
        <v>5.5</v>
      </c>
      <c r="K230" s="3">
        <v>2.1</v>
      </c>
      <c r="L230" s="3">
        <v>7.5</v>
      </c>
      <c r="M230" s="6">
        <v>4.2</v>
      </c>
      <c r="N230" s="14">
        <v>6.3</v>
      </c>
      <c r="O230" s="5">
        <v>813000</v>
      </c>
      <c r="P230" s="9">
        <v>476.5</v>
      </c>
      <c r="Q230" s="9">
        <v>318.25</v>
      </c>
      <c r="R230" s="9">
        <v>688</v>
      </c>
      <c r="S230" s="9">
        <v>183.25</v>
      </c>
      <c r="T230" s="9">
        <v>617.5</v>
      </c>
    </row>
    <row r="231" spans="1:20" ht="12.75">
      <c r="A231" s="2">
        <v>39434</v>
      </c>
      <c r="B231" s="6">
        <v>13258</v>
      </c>
      <c r="C231" s="3">
        <v>4.75</v>
      </c>
      <c r="D231" s="17">
        <v>4.31</v>
      </c>
      <c r="E231" s="6">
        <v>6277.8</v>
      </c>
      <c r="F231" s="15">
        <v>2.018</v>
      </c>
      <c r="G231" s="10">
        <v>1.405</v>
      </c>
      <c r="H231" s="3">
        <v>790.75</v>
      </c>
      <c r="I231" s="18">
        <v>90.6</v>
      </c>
      <c r="J231">
        <v>5.5</v>
      </c>
      <c r="K231" s="3">
        <v>2.1</v>
      </c>
      <c r="L231" s="3">
        <v>7.5</v>
      </c>
      <c r="M231" s="6">
        <v>4.2</v>
      </c>
      <c r="N231" s="14">
        <v>6.3</v>
      </c>
      <c r="O231" s="5">
        <v>813000</v>
      </c>
      <c r="P231" s="12">
        <v>464</v>
      </c>
      <c r="Q231" s="12">
        <v>310</v>
      </c>
      <c r="R231" s="12">
        <v>656</v>
      </c>
      <c r="S231" s="12">
        <v>180.75</v>
      </c>
      <c r="T231" s="12">
        <v>608</v>
      </c>
    </row>
    <row r="232" spans="1:20" ht="12.75">
      <c r="A232" s="2">
        <v>39435</v>
      </c>
      <c r="B232" s="6">
        <v>13232.5</v>
      </c>
      <c r="C232" s="3">
        <v>4.75</v>
      </c>
      <c r="D232" s="3">
        <v>4.31</v>
      </c>
      <c r="E232" s="8">
        <v>6279.3</v>
      </c>
      <c r="F232" s="10">
        <v>2.012</v>
      </c>
      <c r="G232" s="15">
        <v>1.397</v>
      </c>
      <c r="H232" s="3">
        <v>790.75</v>
      </c>
      <c r="I232" s="18">
        <v>89.84</v>
      </c>
      <c r="J232">
        <v>5.5</v>
      </c>
      <c r="K232" s="3">
        <v>2.1</v>
      </c>
      <c r="L232" s="3">
        <v>7.5</v>
      </c>
      <c r="M232" s="16">
        <v>4.3</v>
      </c>
      <c r="N232" s="14">
        <v>6.3</v>
      </c>
      <c r="O232" s="5">
        <v>813000</v>
      </c>
      <c r="P232" s="9">
        <v>465</v>
      </c>
      <c r="Q232" s="12">
        <v>307.75</v>
      </c>
      <c r="R232" s="9">
        <v>666</v>
      </c>
      <c r="S232" s="9">
        <v>182.5</v>
      </c>
      <c r="T232" s="12">
        <v>606.5</v>
      </c>
    </row>
    <row r="233" spans="1:20" ht="12.75">
      <c r="A233" s="2">
        <v>39436</v>
      </c>
      <c r="B233" s="6">
        <v>13206</v>
      </c>
      <c r="C233" s="3">
        <v>4.75</v>
      </c>
      <c r="D233" s="3">
        <v>4.31</v>
      </c>
      <c r="E233" s="8">
        <v>6284.5</v>
      </c>
      <c r="F233" s="10">
        <v>1.995</v>
      </c>
      <c r="G233" s="15">
        <v>1.39</v>
      </c>
      <c r="H233" s="3">
        <v>799.75</v>
      </c>
      <c r="I233" s="11">
        <v>91.06</v>
      </c>
      <c r="J233">
        <v>5.5</v>
      </c>
      <c r="K233" s="3">
        <v>2.1</v>
      </c>
      <c r="L233" s="3">
        <v>7.5</v>
      </c>
      <c r="M233" s="6">
        <v>4.3</v>
      </c>
      <c r="N233" s="14">
        <v>6.3</v>
      </c>
      <c r="O233" s="5">
        <v>813000</v>
      </c>
      <c r="P233" s="12">
        <v>462.25</v>
      </c>
      <c r="Q233" s="12">
        <v>303.25</v>
      </c>
      <c r="R233" s="12">
        <v>666</v>
      </c>
      <c r="S233" s="12">
        <v>181.34</v>
      </c>
      <c r="T233" s="12">
        <v>604</v>
      </c>
    </row>
    <row r="234" spans="1:20" ht="12.75">
      <c r="A234" s="2">
        <v>39437</v>
      </c>
      <c r="B234" s="6"/>
      <c r="C234" s="3">
        <v>4.75</v>
      </c>
      <c r="D234" s="3">
        <v>4.31</v>
      </c>
      <c r="E234" s="8">
        <v>6345.6</v>
      </c>
      <c r="F234" s="15">
        <v>1.981</v>
      </c>
      <c r="G234" s="10">
        <v>1.382</v>
      </c>
      <c r="H234" s="3">
        <v>795.25</v>
      </c>
      <c r="I234" s="11">
        <v>91.46</v>
      </c>
      <c r="J234">
        <v>5.5</v>
      </c>
      <c r="K234" s="3">
        <v>2.1</v>
      </c>
      <c r="L234" s="3">
        <v>7.5</v>
      </c>
      <c r="M234" s="6">
        <v>4.3</v>
      </c>
      <c r="N234" s="14">
        <v>6.3</v>
      </c>
      <c r="O234" s="5">
        <v>813000</v>
      </c>
      <c r="P234" s="12">
        <v>461.25</v>
      </c>
      <c r="Q234" s="9">
        <v>311</v>
      </c>
      <c r="R234" s="9">
        <v>679.5</v>
      </c>
      <c r="S234" s="9">
        <v>185</v>
      </c>
      <c r="T234" s="9">
        <v>611.5</v>
      </c>
    </row>
    <row r="235" spans="1:20" ht="12.75">
      <c r="A235" s="2">
        <v>39438</v>
      </c>
      <c r="B235" s="8">
        <v>13450.7</v>
      </c>
      <c r="C235" s="3">
        <v>4.75</v>
      </c>
      <c r="D235" s="3">
        <v>4.31</v>
      </c>
      <c r="E235" s="6">
        <v>6434.1</v>
      </c>
      <c r="F235" s="10">
        <v>1.983</v>
      </c>
      <c r="G235" s="10">
        <v>1.381</v>
      </c>
      <c r="H235" s="11">
        <v>810.5</v>
      </c>
      <c r="I235" s="11">
        <v>92.6</v>
      </c>
      <c r="J235">
        <v>5.5</v>
      </c>
      <c r="K235" s="3">
        <v>2.1</v>
      </c>
      <c r="L235" s="3">
        <v>7.5</v>
      </c>
      <c r="M235" s="6">
        <v>4.3</v>
      </c>
      <c r="N235" s="14">
        <v>6.3</v>
      </c>
      <c r="O235" s="5">
        <v>813000</v>
      </c>
      <c r="P235" s="9">
        <v>470</v>
      </c>
      <c r="Q235" s="9">
        <v>321.5</v>
      </c>
      <c r="R235" s="9">
        <v>700</v>
      </c>
      <c r="S235" s="9">
        <v>188.75</v>
      </c>
      <c r="T235" s="9">
        <v>616</v>
      </c>
    </row>
    <row r="236" spans="1:20" ht="12.75">
      <c r="A236" s="2">
        <v>39445</v>
      </c>
      <c r="B236" s="6">
        <v>13373.5</v>
      </c>
      <c r="C236" s="3">
        <v>4.75</v>
      </c>
      <c r="D236" s="3">
        <v>4.31</v>
      </c>
      <c r="E236" s="8">
        <v>6476.9</v>
      </c>
      <c r="F236" s="10">
        <v>1.992</v>
      </c>
      <c r="G236" s="15">
        <v>1.354</v>
      </c>
      <c r="H236" s="11">
        <v>833.75</v>
      </c>
      <c r="I236" s="11">
        <v>95.49</v>
      </c>
      <c r="J236">
        <v>5.5</v>
      </c>
      <c r="K236" s="3">
        <v>2.1</v>
      </c>
      <c r="L236" s="3">
        <v>7.5</v>
      </c>
      <c r="M236" s="6">
        <v>4.3</v>
      </c>
      <c r="N236" s="14">
        <v>6.3</v>
      </c>
      <c r="O236" s="5">
        <v>813000</v>
      </c>
      <c r="P236" s="9">
        <v>475.25</v>
      </c>
      <c r="Q236" s="12">
        <v>319.5</v>
      </c>
      <c r="R236" s="9">
        <v>710.5</v>
      </c>
      <c r="S236" s="12">
        <v>188.5</v>
      </c>
      <c r="T236" s="9">
        <v>619</v>
      </c>
    </row>
    <row r="237" spans="1:21" ht="12.75">
      <c r="A237" s="2">
        <v>39450</v>
      </c>
      <c r="B237" s="6">
        <v>13022.1</v>
      </c>
      <c r="C237" s="3">
        <v>4.75</v>
      </c>
      <c r="D237" s="3">
        <v>4.31</v>
      </c>
      <c r="E237" s="6">
        <v>6416.7</v>
      </c>
      <c r="F237" s="15">
        <v>1.981</v>
      </c>
      <c r="G237" s="15">
        <v>1.345</v>
      </c>
      <c r="H237" s="11">
        <v>846.75</v>
      </c>
      <c r="I237" s="11">
        <v>97.37</v>
      </c>
      <c r="J237">
        <v>5.5</v>
      </c>
      <c r="K237" s="3">
        <v>2.1</v>
      </c>
      <c r="L237" s="3">
        <v>7.5</v>
      </c>
      <c r="M237" s="6">
        <v>4.3</v>
      </c>
      <c r="N237" s="14">
        <v>6.3</v>
      </c>
      <c r="O237" s="5">
        <v>813000</v>
      </c>
      <c r="P237" s="12">
        <v>469</v>
      </c>
      <c r="Q237" s="12">
        <v>318.5</v>
      </c>
      <c r="R237" s="12">
        <v>699</v>
      </c>
      <c r="S237" s="12">
        <v>186</v>
      </c>
      <c r="T237" s="12">
        <v>616.5</v>
      </c>
      <c r="U237" s="12"/>
    </row>
    <row r="238" spans="1:20" ht="12.75">
      <c r="A238" s="2">
        <v>39451</v>
      </c>
      <c r="B238" s="8">
        <v>13106.3</v>
      </c>
      <c r="C238" s="3">
        <v>4.75</v>
      </c>
      <c r="D238" s="3">
        <v>4.31</v>
      </c>
      <c r="E238" s="8">
        <v>6479.4</v>
      </c>
      <c r="F238" s="15">
        <v>1.975</v>
      </c>
      <c r="G238" s="15">
        <v>1.34</v>
      </c>
      <c r="H238" s="11">
        <v>858.85</v>
      </c>
      <c r="I238" s="11">
        <v>97.52</v>
      </c>
      <c r="J238">
        <v>5.5</v>
      </c>
      <c r="K238" s="3">
        <v>2.1</v>
      </c>
      <c r="L238" s="3">
        <v>7.5</v>
      </c>
      <c r="M238" s="6">
        <v>4.3</v>
      </c>
      <c r="N238" s="14">
        <v>6.3</v>
      </c>
      <c r="O238" s="5">
        <v>813000</v>
      </c>
      <c r="P238" s="9">
        <v>471.5</v>
      </c>
      <c r="Q238" s="12">
        <v>316.25</v>
      </c>
      <c r="R238" s="9">
        <v>714.5</v>
      </c>
      <c r="S238" s="9">
        <v>186.25</v>
      </c>
      <c r="T238" s="9">
        <v>635.5</v>
      </c>
    </row>
    <row r="239" spans="1:20" ht="12.75">
      <c r="A239" s="2">
        <v>39452</v>
      </c>
      <c r="B239" s="6">
        <v>12892.1</v>
      </c>
      <c r="C239" s="3">
        <v>4.75</v>
      </c>
      <c r="D239" s="3">
        <v>4.31</v>
      </c>
      <c r="E239" s="6">
        <v>6348.5</v>
      </c>
      <c r="F239" s="15">
        <v>1.975</v>
      </c>
      <c r="G239" s="15">
        <v>1.336</v>
      </c>
      <c r="H239" s="3">
        <v>855</v>
      </c>
      <c r="I239" s="18">
        <v>96.7</v>
      </c>
      <c r="J239">
        <v>5.5</v>
      </c>
      <c r="K239" s="3">
        <v>2.1</v>
      </c>
      <c r="L239" s="3">
        <v>7.5</v>
      </c>
      <c r="M239" s="6">
        <v>4.3</v>
      </c>
      <c r="N239" s="14">
        <v>6.3</v>
      </c>
      <c r="O239" s="5">
        <v>813000</v>
      </c>
      <c r="P239" s="12">
        <v>455</v>
      </c>
      <c r="Q239" s="12">
        <v>314.5</v>
      </c>
      <c r="R239" s="12">
        <v>685.5</v>
      </c>
      <c r="S239" s="12">
        <v>185.75</v>
      </c>
      <c r="T239" s="12">
        <v>627.5</v>
      </c>
    </row>
    <row r="240" spans="1:20" ht="12.75">
      <c r="A240" s="2">
        <v>39455</v>
      </c>
      <c r="B240" s="6">
        <v>12846</v>
      </c>
      <c r="C240" s="3">
        <v>4.75</v>
      </c>
      <c r="D240" s="3">
        <v>4.31</v>
      </c>
      <c r="E240" s="6">
        <v>6335.7</v>
      </c>
      <c r="F240" s="15">
        <v>1.972</v>
      </c>
      <c r="G240" s="15">
        <v>1.343</v>
      </c>
      <c r="H240" s="11">
        <v>859.25</v>
      </c>
      <c r="I240" s="18">
        <v>94.63</v>
      </c>
      <c r="J240">
        <v>5.5</v>
      </c>
      <c r="K240" s="3">
        <v>2.1</v>
      </c>
      <c r="L240" s="3">
        <v>7.5</v>
      </c>
      <c r="M240" s="6">
        <v>4.3</v>
      </c>
      <c r="N240" s="14">
        <v>6.3</v>
      </c>
      <c r="O240" s="5">
        <v>813000</v>
      </c>
      <c r="P240" s="12">
        <v>452</v>
      </c>
      <c r="Q240" s="12">
        <v>307.5</v>
      </c>
      <c r="R240" s="9">
        <v>689.5</v>
      </c>
      <c r="S240" s="12">
        <v>188</v>
      </c>
      <c r="T240" s="9">
        <v>637</v>
      </c>
    </row>
    <row r="241" spans="1:20" ht="12.75">
      <c r="A241" s="2">
        <v>39456</v>
      </c>
      <c r="B241" s="6">
        <v>12770</v>
      </c>
      <c r="C241" s="3">
        <v>4.75</v>
      </c>
      <c r="D241" s="3">
        <v>4.31</v>
      </c>
      <c r="E241" s="6">
        <v>6356.5</v>
      </c>
      <c r="F241" s="10">
        <v>1.973</v>
      </c>
      <c r="G241" s="15">
        <v>1.341</v>
      </c>
      <c r="H241" s="3">
        <v>873.5</v>
      </c>
      <c r="I241" s="11">
        <v>96.36</v>
      </c>
      <c r="J241">
        <v>5.5</v>
      </c>
      <c r="K241" s="3">
        <v>2.1</v>
      </c>
      <c r="L241" s="3">
        <v>7.5</v>
      </c>
      <c r="M241" s="6">
        <v>4.3</v>
      </c>
      <c r="N241" s="14">
        <v>5.2</v>
      </c>
      <c r="O241" s="5">
        <v>813000</v>
      </c>
      <c r="P241" s="12">
        <v>443.5</v>
      </c>
      <c r="Q241" s="12">
        <v>312.5</v>
      </c>
      <c r="R241" s="12">
        <v>671</v>
      </c>
      <c r="S241" s="12">
        <v>191.5</v>
      </c>
      <c r="T241" s="12">
        <v>633.5</v>
      </c>
    </row>
    <row r="242" spans="1:20" ht="12.75">
      <c r="A242" s="2">
        <v>39457</v>
      </c>
      <c r="B242" s="6">
        <v>12623.8</v>
      </c>
      <c r="C242" s="3">
        <v>4.75</v>
      </c>
      <c r="D242" s="3">
        <v>4.31</v>
      </c>
      <c r="E242" s="6">
        <v>6272.7</v>
      </c>
      <c r="F242" s="10">
        <v>1.956</v>
      </c>
      <c r="G242" s="15">
        <v>1.334</v>
      </c>
      <c r="H242" s="11">
        <v>877</v>
      </c>
      <c r="I242" s="11">
        <v>96.35</v>
      </c>
      <c r="J242">
        <v>5.5</v>
      </c>
      <c r="K242" s="3">
        <v>2.1</v>
      </c>
      <c r="L242" s="3">
        <v>7.5</v>
      </c>
      <c r="M242" s="6">
        <v>4.3</v>
      </c>
      <c r="N242" s="16">
        <v>5.2</v>
      </c>
      <c r="O242" s="5">
        <v>813000</v>
      </c>
      <c r="P242" s="12">
        <v>433.5</v>
      </c>
      <c r="Q242" s="12">
        <v>307.25</v>
      </c>
      <c r="R242" s="9">
        <v>687.5</v>
      </c>
      <c r="S242" s="12">
        <v>188</v>
      </c>
      <c r="T242" s="12">
        <v>610.5</v>
      </c>
    </row>
    <row r="243" spans="1:20" ht="12.75">
      <c r="A243" s="2">
        <v>39458</v>
      </c>
      <c r="B243" s="8">
        <v>12853.1</v>
      </c>
      <c r="C243" s="3">
        <v>4.75</v>
      </c>
      <c r="D243" s="3">
        <v>4.31</v>
      </c>
      <c r="E243" s="6">
        <v>6222.7</v>
      </c>
      <c r="F243" s="10">
        <v>1.957</v>
      </c>
      <c r="G243" s="15">
        <v>1.326</v>
      </c>
      <c r="H243" s="3">
        <v>877</v>
      </c>
      <c r="I243" s="18">
        <v>93.28</v>
      </c>
      <c r="J243">
        <v>5.5</v>
      </c>
      <c r="K243" s="3">
        <v>2.1</v>
      </c>
      <c r="L243" s="3">
        <v>7.5</v>
      </c>
      <c r="M243" s="6">
        <v>4.3</v>
      </c>
      <c r="N243" s="14">
        <v>5.2</v>
      </c>
      <c r="O243" s="5">
        <v>813000</v>
      </c>
      <c r="P243" s="12">
        <v>430.5</v>
      </c>
      <c r="Q243" s="9">
        <v>308.5</v>
      </c>
      <c r="R243" s="12">
        <v>673</v>
      </c>
      <c r="S243" s="9">
        <v>188.75</v>
      </c>
      <c r="T243" s="12">
        <v>605</v>
      </c>
    </row>
    <row r="244" spans="1:20" ht="12.75">
      <c r="A244" s="2">
        <v>39462</v>
      </c>
      <c r="B244" s="6">
        <v>12778.2</v>
      </c>
      <c r="C244" s="3">
        <v>4.75</v>
      </c>
      <c r="D244" s="3">
        <v>4.31</v>
      </c>
      <c r="E244" s="6">
        <v>6215.7</v>
      </c>
      <c r="F244" s="15">
        <v>1.957</v>
      </c>
      <c r="G244" s="15">
        <v>1.316</v>
      </c>
      <c r="H244" s="11">
        <v>902</v>
      </c>
      <c r="I244" s="18">
        <v>92.28</v>
      </c>
      <c r="J244">
        <v>5.5</v>
      </c>
      <c r="K244" s="3">
        <v>2.1</v>
      </c>
      <c r="L244" s="3">
        <v>7.5</v>
      </c>
      <c r="M244" s="6">
        <v>4.3</v>
      </c>
      <c r="N244" s="14">
        <v>5.2</v>
      </c>
      <c r="O244" s="5">
        <v>813000</v>
      </c>
      <c r="P244" s="12">
        <v>425</v>
      </c>
      <c r="Q244" s="12">
        <v>303.25</v>
      </c>
      <c r="R244" s="9">
        <v>695</v>
      </c>
      <c r="S244" s="12">
        <v>183</v>
      </c>
      <c r="T244" s="12">
        <v>597</v>
      </c>
    </row>
    <row r="245" spans="1:20" ht="12.75">
      <c r="A245" s="2">
        <v>39463</v>
      </c>
      <c r="B245" s="6">
        <v>12501.1</v>
      </c>
      <c r="C245" s="3">
        <v>4.75</v>
      </c>
      <c r="D245" s="3">
        <v>4.31</v>
      </c>
      <c r="E245" s="6">
        <v>6025.6</v>
      </c>
      <c r="F245" s="15">
        <v>1.966</v>
      </c>
      <c r="G245" s="10">
        <v>1.324</v>
      </c>
      <c r="H245" s="11">
        <v>913</v>
      </c>
      <c r="I245" s="11">
        <v>90.63</v>
      </c>
      <c r="J245">
        <v>5.5</v>
      </c>
      <c r="K245" s="3">
        <v>2.1</v>
      </c>
      <c r="L245" s="3">
        <v>7.5</v>
      </c>
      <c r="M245" s="16">
        <v>4</v>
      </c>
      <c r="N245" s="14">
        <v>5.2</v>
      </c>
      <c r="O245" s="5">
        <v>813000</v>
      </c>
      <c r="P245" s="12">
        <v>406</v>
      </c>
      <c r="Q245" s="12">
        <v>299.5</v>
      </c>
      <c r="R245" s="12">
        <v>670</v>
      </c>
      <c r="S245" s="12">
        <v>181.5</v>
      </c>
      <c r="T245" s="12">
        <v>573</v>
      </c>
    </row>
    <row r="246" spans="1:20" ht="12.75">
      <c r="A246" s="2">
        <v>39464</v>
      </c>
      <c r="B246" s="8">
        <v>12527.9</v>
      </c>
      <c r="C246" s="3">
        <v>4.75</v>
      </c>
      <c r="D246" s="17">
        <v>4.08</v>
      </c>
      <c r="E246" s="6">
        <v>5942.9</v>
      </c>
      <c r="F246" s="10">
        <v>1.982</v>
      </c>
      <c r="G246" s="10">
        <v>1.339</v>
      </c>
      <c r="H246" s="3">
        <v>889.75</v>
      </c>
      <c r="I246" s="11">
        <v>89.29</v>
      </c>
      <c r="J246">
        <v>5.5</v>
      </c>
      <c r="K246" s="3">
        <v>2.1</v>
      </c>
      <c r="L246" s="3">
        <v>7.5</v>
      </c>
      <c r="M246" s="6">
        <v>4</v>
      </c>
      <c r="N246" s="14">
        <v>5.2</v>
      </c>
      <c r="O246" s="13">
        <v>807700</v>
      </c>
      <c r="P246" s="12">
        <v>394.25</v>
      </c>
      <c r="Q246" s="9">
        <v>303.5</v>
      </c>
      <c r="R246" s="12">
        <v>642</v>
      </c>
      <c r="S246" s="12">
        <v>180.25</v>
      </c>
      <c r="T246" s="12">
        <v>564</v>
      </c>
    </row>
    <row r="247" spans="1:20" ht="12.75">
      <c r="A247" s="2">
        <v>39465</v>
      </c>
      <c r="B247" s="6">
        <v>12159.2</v>
      </c>
      <c r="C247" s="3">
        <v>4.75</v>
      </c>
      <c r="D247" s="3">
        <v>4.08</v>
      </c>
      <c r="E247" s="6">
        <v>5902.4</v>
      </c>
      <c r="F247" s="15">
        <v>1.973</v>
      </c>
      <c r="G247" s="15">
        <v>1.343</v>
      </c>
      <c r="H247" s="3">
        <v>888.25</v>
      </c>
      <c r="I247" s="11">
        <v>89.5</v>
      </c>
      <c r="J247">
        <v>5.5</v>
      </c>
      <c r="K247" s="3">
        <v>2.1</v>
      </c>
      <c r="L247" s="3">
        <v>7.5</v>
      </c>
      <c r="M247" s="6">
        <v>4</v>
      </c>
      <c r="N247" s="14">
        <v>5.2</v>
      </c>
      <c r="O247" s="5">
        <v>807700</v>
      </c>
      <c r="P247" s="9">
        <v>405.5</v>
      </c>
      <c r="Q247" s="9">
        <v>306.75</v>
      </c>
      <c r="R247" s="12">
        <v>633.5</v>
      </c>
      <c r="S247" s="12">
        <v>180</v>
      </c>
      <c r="T247" s="12">
        <v>553.5</v>
      </c>
    </row>
    <row r="248" spans="1:20" ht="12.75">
      <c r="A248" s="2">
        <v>39466</v>
      </c>
      <c r="B248" s="6">
        <v>12081.4</v>
      </c>
      <c r="C248" s="3">
        <v>4.75</v>
      </c>
      <c r="D248" s="3">
        <v>4.08</v>
      </c>
      <c r="E248" s="6">
        <v>5901.7</v>
      </c>
      <c r="F248" s="15">
        <v>1.955</v>
      </c>
      <c r="G248" s="15">
        <v>1.336</v>
      </c>
      <c r="H248" s="3">
        <v>882</v>
      </c>
      <c r="I248" s="18">
        <v>89.17</v>
      </c>
      <c r="J248">
        <v>5.5</v>
      </c>
      <c r="K248" s="3">
        <v>2.1</v>
      </c>
      <c r="L248" s="3">
        <v>7.5</v>
      </c>
      <c r="M248" s="6">
        <v>4</v>
      </c>
      <c r="N248" s="14">
        <v>5.2</v>
      </c>
      <c r="O248" s="5">
        <v>807700</v>
      </c>
      <c r="P248" s="12">
        <v>401.25</v>
      </c>
      <c r="Q248" s="9">
        <v>314.75</v>
      </c>
      <c r="R248" s="12">
        <v>596.5</v>
      </c>
      <c r="S248" s="12">
        <v>178.5</v>
      </c>
      <c r="T248" s="9">
        <v>554</v>
      </c>
    </row>
    <row r="249" spans="1:20" ht="12.75">
      <c r="A249" s="2">
        <v>39469</v>
      </c>
      <c r="B249" s="6"/>
      <c r="C249" s="3">
        <v>4.75</v>
      </c>
      <c r="D249" s="3">
        <v>4.08</v>
      </c>
      <c r="E249" s="6">
        <v>5578.2</v>
      </c>
      <c r="F249" s="15">
        <v>1.945</v>
      </c>
      <c r="G249" s="10">
        <v>1.347</v>
      </c>
      <c r="H249" s="3">
        <v>871.25</v>
      </c>
      <c r="I249" s="18">
        <v>87.6</v>
      </c>
      <c r="J249">
        <v>5.5</v>
      </c>
      <c r="K249" s="3">
        <v>2.1</v>
      </c>
      <c r="L249" s="3">
        <v>7.5</v>
      </c>
      <c r="M249" s="6">
        <v>4</v>
      </c>
      <c r="N249" s="14">
        <v>5.2</v>
      </c>
      <c r="O249" s="5">
        <v>807700</v>
      </c>
      <c r="P249" s="12">
        <v>373.5</v>
      </c>
      <c r="Q249" s="12">
        <v>300.5</v>
      </c>
      <c r="R249" s="12">
        <v>573.5</v>
      </c>
      <c r="S249" s="12">
        <v>170.5</v>
      </c>
      <c r="T249" s="12">
        <v>519</v>
      </c>
    </row>
    <row r="250" spans="1:20" ht="12.75">
      <c r="A250" s="2">
        <v>39470</v>
      </c>
      <c r="B250" s="6">
        <v>11971.2</v>
      </c>
      <c r="C250" s="17">
        <v>3.5</v>
      </c>
      <c r="D250" s="3">
        <v>4.08</v>
      </c>
      <c r="E250" s="8">
        <v>5740.1</v>
      </c>
      <c r="F250" s="10">
        <v>1.962</v>
      </c>
      <c r="G250" s="15">
        <v>1.342</v>
      </c>
      <c r="H250" s="11">
        <v>875</v>
      </c>
      <c r="I250" s="11">
        <v>88</v>
      </c>
      <c r="J250">
        <v>5.5</v>
      </c>
      <c r="K250" s="3">
        <v>2.1</v>
      </c>
      <c r="L250" s="3">
        <v>7.5</v>
      </c>
      <c r="M250" s="6">
        <v>4</v>
      </c>
      <c r="N250" s="14">
        <v>5.2</v>
      </c>
      <c r="O250" s="5">
        <v>807700</v>
      </c>
      <c r="P250" s="9">
        <v>408</v>
      </c>
      <c r="Q250" s="9">
        <v>311.25</v>
      </c>
      <c r="R250" s="9">
        <v>618.5</v>
      </c>
      <c r="S250" s="9">
        <v>173</v>
      </c>
      <c r="T250" s="9">
        <v>526.5</v>
      </c>
    </row>
    <row r="251" spans="1:20" ht="12.75">
      <c r="A251" s="2">
        <v>39471</v>
      </c>
      <c r="B251" s="6">
        <v>11764.8</v>
      </c>
      <c r="C251" s="3">
        <v>3.5</v>
      </c>
      <c r="D251" s="3">
        <v>4.08</v>
      </c>
      <c r="E251" s="6">
        <v>5609.3</v>
      </c>
      <c r="F251" s="10">
        <v>1.951</v>
      </c>
      <c r="G251" s="15">
        <v>1.339</v>
      </c>
      <c r="H251" s="11">
        <v>888.25</v>
      </c>
      <c r="I251" s="18">
        <v>86.51</v>
      </c>
      <c r="J251">
        <v>5.5</v>
      </c>
      <c r="K251" s="3">
        <v>2.1</v>
      </c>
      <c r="L251" s="3">
        <v>7.5</v>
      </c>
      <c r="M251" s="6">
        <v>4</v>
      </c>
      <c r="N251" s="14">
        <v>5.2</v>
      </c>
      <c r="O251" s="5">
        <v>807700</v>
      </c>
      <c r="P251" s="9">
        <v>410</v>
      </c>
      <c r="Q251" s="12">
        <v>296.75</v>
      </c>
      <c r="R251" s="9">
        <v>626</v>
      </c>
      <c r="S251" s="12">
        <v>165</v>
      </c>
      <c r="T251" s="12">
        <v>503.5</v>
      </c>
    </row>
    <row r="252" spans="1:20" ht="12.75">
      <c r="A252" s="2">
        <v>39472</v>
      </c>
      <c r="B252" s="8">
        <v>12378.6</v>
      </c>
      <c r="C252" s="3">
        <v>3.5</v>
      </c>
      <c r="D252" s="3">
        <v>4.08</v>
      </c>
      <c r="E252" s="8">
        <v>5875.8</v>
      </c>
      <c r="F252" s="10">
        <v>1.971</v>
      </c>
      <c r="G252" s="15">
        <v>1.339</v>
      </c>
      <c r="H252" s="11">
        <v>909.25</v>
      </c>
      <c r="I252" s="11">
        <v>87.55</v>
      </c>
      <c r="J252">
        <v>5.5</v>
      </c>
      <c r="K252" s="3">
        <v>2.1</v>
      </c>
      <c r="L252" s="3">
        <v>7.5</v>
      </c>
      <c r="M252" s="6">
        <v>4</v>
      </c>
      <c r="N252" s="14">
        <v>5.2</v>
      </c>
      <c r="O252" s="5">
        <v>807700</v>
      </c>
      <c r="P252" s="9">
        <v>443.75</v>
      </c>
      <c r="Q252" s="9">
        <v>299.5</v>
      </c>
      <c r="R252" s="9">
        <v>655</v>
      </c>
      <c r="S252" s="9">
        <v>171.5</v>
      </c>
      <c r="T252" s="9">
        <v>531</v>
      </c>
    </row>
    <row r="253" spans="1:20" ht="12.75">
      <c r="A253" s="2">
        <v>39473</v>
      </c>
      <c r="B253" s="8">
        <v>12389.2</v>
      </c>
      <c r="C253" s="3">
        <v>3.5</v>
      </c>
      <c r="D253" s="3">
        <v>4.08</v>
      </c>
      <c r="E253" s="6">
        <v>5869</v>
      </c>
      <c r="F253" s="10">
        <v>1.979</v>
      </c>
      <c r="G253" s="10">
        <v>1.349</v>
      </c>
      <c r="H253" s="11">
        <v>918.25</v>
      </c>
      <c r="I253" s="11">
        <v>90.8</v>
      </c>
      <c r="J253">
        <v>5.5</v>
      </c>
      <c r="K253" s="3">
        <v>2.1</v>
      </c>
      <c r="L253" s="3">
        <v>7.5</v>
      </c>
      <c r="M253" s="6">
        <v>4</v>
      </c>
      <c r="N253" s="14">
        <v>5.2</v>
      </c>
      <c r="O253" s="5">
        <v>807700</v>
      </c>
      <c r="P253" s="12">
        <v>429.25</v>
      </c>
      <c r="Q253" s="12">
        <v>297</v>
      </c>
      <c r="R253" s="12">
        <v>639</v>
      </c>
      <c r="S253" s="9">
        <v>175.25</v>
      </c>
      <c r="T253" s="9">
        <v>538</v>
      </c>
    </row>
    <row r="254" spans="1:20" ht="12.75">
      <c r="A254" s="2">
        <v>39477</v>
      </c>
      <c r="B254" s="6">
        <v>12480.3</v>
      </c>
      <c r="C254" s="3">
        <v>3.5</v>
      </c>
      <c r="D254" s="3">
        <v>4.08</v>
      </c>
      <c r="E254" s="6">
        <v>5885.2</v>
      </c>
      <c r="F254" s="10">
        <v>1.985</v>
      </c>
      <c r="G254" s="15">
        <v>1.345</v>
      </c>
      <c r="H254" s="11">
        <v>924.5</v>
      </c>
      <c r="I254" s="11">
        <v>91.51</v>
      </c>
      <c r="J254">
        <v>5.5</v>
      </c>
      <c r="K254" s="3">
        <v>2.1</v>
      </c>
      <c r="L254" s="3">
        <v>7.5</v>
      </c>
      <c r="M254" s="6">
        <v>4</v>
      </c>
      <c r="N254" s="14">
        <v>5.2</v>
      </c>
      <c r="O254" s="5">
        <v>807700</v>
      </c>
      <c r="P254" s="9">
        <v>439.5</v>
      </c>
      <c r="Q254" s="9">
        <v>296.25</v>
      </c>
      <c r="R254" s="9">
        <v>654</v>
      </c>
      <c r="S254" s="9">
        <v>173.75</v>
      </c>
      <c r="T254" s="9">
        <v>532.5</v>
      </c>
    </row>
    <row r="255" spans="1:20" ht="12.75">
      <c r="A255" s="2">
        <v>39479</v>
      </c>
      <c r="B255" s="8">
        <v>12575.4</v>
      </c>
      <c r="C255" s="3">
        <v>3.5</v>
      </c>
      <c r="D255" s="3">
        <v>4.08</v>
      </c>
      <c r="E255" s="6">
        <v>5879.8</v>
      </c>
      <c r="F255" s="10">
        <v>1.99</v>
      </c>
      <c r="G255" s="15">
        <v>1.34</v>
      </c>
      <c r="H255" s="18">
        <v>919</v>
      </c>
      <c r="I255" s="18">
        <v>91.18</v>
      </c>
      <c r="J255">
        <v>5.5</v>
      </c>
      <c r="K255" s="3">
        <v>2.1</v>
      </c>
      <c r="L255" s="3">
        <v>7.5</v>
      </c>
      <c r="M255" s="6">
        <v>4</v>
      </c>
      <c r="N255" s="14">
        <v>5.2</v>
      </c>
      <c r="O255" s="5">
        <v>807700</v>
      </c>
      <c r="P255" s="12">
        <v>437.5</v>
      </c>
      <c r="Q255" s="9">
        <v>299.25</v>
      </c>
      <c r="R255" s="12">
        <v>640.5</v>
      </c>
      <c r="S255" s="9">
        <v>175.25</v>
      </c>
      <c r="T255" s="12">
        <v>532</v>
      </c>
    </row>
    <row r="256" spans="1:20" ht="12.75">
      <c r="A256" s="2">
        <v>39480</v>
      </c>
      <c r="B256" s="8">
        <v>12743.2</v>
      </c>
      <c r="C256" s="3">
        <v>3.5</v>
      </c>
      <c r="D256" s="3">
        <v>4.08</v>
      </c>
      <c r="E256" s="8">
        <v>6029.2</v>
      </c>
      <c r="F256" s="15">
        <v>1.967</v>
      </c>
      <c r="G256" s="15">
        <v>1.327</v>
      </c>
      <c r="H256" s="18">
        <v>914.75</v>
      </c>
      <c r="I256" s="18">
        <v>89.6</v>
      </c>
      <c r="J256">
        <v>5.5</v>
      </c>
      <c r="K256" s="3">
        <v>2.1</v>
      </c>
      <c r="L256" s="3">
        <v>7.5</v>
      </c>
      <c r="M256" s="6">
        <v>4</v>
      </c>
      <c r="N256" s="14">
        <v>5.2</v>
      </c>
      <c r="O256" s="5">
        <v>807700</v>
      </c>
      <c r="P256" s="9">
        <v>441.75</v>
      </c>
      <c r="Q256" s="12">
        <v>299</v>
      </c>
      <c r="R256" s="9">
        <v>656</v>
      </c>
      <c r="S256" s="9">
        <v>181.25</v>
      </c>
      <c r="T256" s="9">
        <v>542</v>
      </c>
    </row>
    <row r="257" spans="1:20" ht="12.75">
      <c r="A257" s="2">
        <v>39483</v>
      </c>
      <c r="B257" s="6">
        <v>12672.8</v>
      </c>
      <c r="C257" s="3">
        <v>3.5</v>
      </c>
      <c r="D257" s="3">
        <v>4.08</v>
      </c>
      <c r="E257" s="6">
        <v>6026.2</v>
      </c>
      <c r="F257" s="10">
        <v>1.977</v>
      </c>
      <c r="G257" s="15">
        <v>1.333</v>
      </c>
      <c r="H257" s="11">
        <v>893.75</v>
      </c>
      <c r="I257" s="11">
        <v>90.83</v>
      </c>
      <c r="J257">
        <v>5.5</v>
      </c>
      <c r="K257" s="3">
        <v>2.1</v>
      </c>
      <c r="L257" s="3">
        <v>7.5</v>
      </c>
      <c r="M257" s="6">
        <v>4</v>
      </c>
      <c r="N257" s="14">
        <v>5.2</v>
      </c>
      <c r="O257" s="5">
        <v>807700</v>
      </c>
      <c r="P257" s="12">
        <v>447.5</v>
      </c>
      <c r="Q257" s="9">
        <v>305</v>
      </c>
      <c r="R257" s="12">
        <v>659</v>
      </c>
      <c r="S257" s="9">
        <v>178</v>
      </c>
      <c r="T257" s="9">
        <v>542</v>
      </c>
    </row>
    <row r="258" spans="1:20" ht="12.75">
      <c r="A258" s="2">
        <v>39484</v>
      </c>
      <c r="B258" s="8">
        <v>12327.1</v>
      </c>
      <c r="C258" s="3">
        <v>3.5</v>
      </c>
      <c r="D258" s="3">
        <v>4.08</v>
      </c>
      <c r="E258" s="6">
        <v>5868</v>
      </c>
      <c r="F258" s="15">
        <v>1.962</v>
      </c>
      <c r="G258" s="10">
        <v>1.34</v>
      </c>
      <c r="H258" s="11">
        <v>887.5</v>
      </c>
      <c r="I258" s="11">
        <v>88.69</v>
      </c>
      <c r="J258">
        <v>5.5</v>
      </c>
      <c r="K258" s="3">
        <v>2.1</v>
      </c>
      <c r="L258" s="3">
        <v>7.5</v>
      </c>
      <c r="M258" s="6">
        <v>4</v>
      </c>
      <c r="N258" s="16">
        <v>4.5</v>
      </c>
      <c r="O258" s="5">
        <v>807700</v>
      </c>
      <c r="P258" s="12">
        <v>432.5</v>
      </c>
      <c r="Q258" s="12">
        <v>293</v>
      </c>
      <c r="R258" s="12">
        <v>627</v>
      </c>
      <c r="S258" s="12">
        <v>173.5</v>
      </c>
      <c r="T258" s="9">
        <v>543</v>
      </c>
    </row>
    <row r="259" spans="1:20" ht="12.75">
      <c r="A259" s="2">
        <v>39485</v>
      </c>
      <c r="B259" s="6">
        <v>12321.5</v>
      </c>
      <c r="C259" s="3">
        <v>3.5</v>
      </c>
      <c r="D259" s="3">
        <v>4.08</v>
      </c>
      <c r="E259" s="8">
        <v>5875.4</v>
      </c>
      <c r="F259" s="15">
        <v>1.96</v>
      </c>
      <c r="G259" s="15">
        <v>1.339</v>
      </c>
      <c r="H259" s="11">
        <v>903</v>
      </c>
      <c r="I259" s="18">
        <v>87.94</v>
      </c>
      <c r="J259">
        <v>5.5</v>
      </c>
      <c r="K259" s="3">
        <v>2.1</v>
      </c>
      <c r="L259" s="3">
        <v>7.5</v>
      </c>
      <c r="M259" s="6">
        <v>4</v>
      </c>
      <c r="N259" s="14">
        <v>4.5</v>
      </c>
      <c r="O259" s="5">
        <v>807700</v>
      </c>
      <c r="P259" s="12">
        <v>425</v>
      </c>
      <c r="Q259" s="9">
        <v>304</v>
      </c>
      <c r="R259" s="12">
        <v>624</v>
      </c>
      <c r="S259" s="9">
        <v>174.25</v>
      </c>
      <c r="T259" s="9">
        <v>544.5</v>
      </c>
    </row>
    <row r="260" spans="1:20" ht="12.75">
      <c r="A260" s="2">
        <v>39486</v>
      </c>
      <c r="B260" s="6">
        <v>12247</v>
      </c>
      <c r="C260" s="3">
        <v>3.5</v>
      </c>
      <c r="D260" s="3">
        <v>4.08</v>
      </c>
      <c r="E260" s="6">
        <v>5724.1</v>
      </c>
      <c r="F260" s="15">
        <v>1.942</v>
      </c>
      <c r="G260" s="10">
        <v>1.34</v>
      </c>
      <c r="H260" s="18">
        <v>899.75</v>
      </c>
      <c r="I260" s="11">
        <v>88.4</v>
      </c>
      <c r="J260" s="19">
        <v>5.25</v>
      </c>
      <c r="K260" s="3">
        <v>2.1</v>
      </c>
      <c r="L260" s="17">
        <v>7.25</v>
      </c>
      <c r="M260" s="6">
        <v>4</v>
      </c>
      <c r="N260" s="14">
        <v>4.5</v>
      </c>
      <c r="O260" s="5">
        <v>807700</v>
      </c>
      <c r="P260" s="12">
        <v>416</v>
      </c>
      <c r="Q260" s="12">
        <v>290.25</v>
      </c>
      <c r="R260" s="12">
        <v>591</v>
      </c>
      <c r="S260" s="12">
        <v>170</v>
      </c>
      <c r="T260" s="12">
        <v>536</v>
      </c>
    </row>
    <row r="261" spans="1:20" ht="12.75">
      <c r="A261" s="2">
        <v>39487</v>
      </c>
      <c r="B261" s="6">
        <v>12182.1</v>
      </c>
      <c r="C261" s="3">
        <v>3.5</v>
      </c>
      <c r="D261" s="3">
        <v>4.08</v>
      </c>
      <c r="E261" s="8">
        <v>5784</v>
      </c>
      <c r="F261" s="10">
        <v>1.948</v>
      </c>
      <c r="G261" s="10">
        <v>1.343</v>
      </c>
      <c r="H261" s="11">
        <v>916.25</v>
      </c>
      <c r="I261" s="11">
        <v>92</v>
      </c>
      <c r="J261">
        <v>5.25</v>
      </c>
      <c r="K261" s="3">
        <v>2.1</v>
      </c>
      <c r="L261" s="3">
        <v>7.25</v>
      </c>
      <c r="M261" s="6">
        <v>4</v>
      </c>
      <c r="N261" s="14">
        <v>4.5</v>
      </c>
      <c r="O261" s="5">
        <v>807700</v>
      </c>
      <c r="P261" s="9">
        <v>416.5</v>
      </c>
      <c r="Q261" s="12">
        <v>287.5</v>
      </c>
      <c r="R261" s="9">
        <v>606</v>
      </c>
      <c r="S261" s="9">
        <v>174.25</v>
      </c>
      <c r="T261" s="9">
        <v>547</v>
      </c>
    </row>
    <row r="262" spans="1:20" ht="12.75">
      <c r="A262" s="2">
        <v>39490</v>
      </c>
      <c r="B262" s="8">
        <v>12240.1</v>
      </c>
      <c r="C262" s="3">
        <v>3.5</v>
      </c>
      <c r="D262" s="3">
        <v>4.08</v>
      </c>
      <c r="E262" s="6">
        <v>5707.7</v>
      </c>
      <c r="F262" s="10">
        <v>1.949</v>
      </c>
      <c r="G262" s="10">
        <v>1.344</v>
      </c>
      <c r="H262" s="11">
        <v>918</v>
      </c>
      <c r="I262" s="11">
        <v>93.58</v>
      </c>
      <c r="J262">
        <v>5.25</v>
      </c>
      <c r="K262" s="3">
        <v>2.1</v>
      </c>
      <c r="L262" s="3">
        <v>7.25</v>
      </c>
      <c r="M262" s="6">
        <v>4</v>
      </c>
      <c r="N262" s="14">
        <v>4.5</v>
      </c>
      <c r="O262" s="5">
        <v>807700</v>
      </c>
      <c r="P262" s="12">
        <v>404.25</v>
      </c>
      <c r="Q262" s="9">
        <v>291.5</v>
      </c>
      <c r="R262" s="12">
        <v>583</v>
      </c>
      <c r="S262" s="12">
        <v>171</v>
      </c>
      <c r="T262" s="9">
        <v>547.5</v>
      </c>
    </row>
    <row r="263" spans="1:20" ht="12.75">
      <c r="A263" s="2">
        <v>39491</v>
      </c>
      <c r="B263" s="8">
        <v>12373.4</v>
      </c>
      <c r="C263" s="3">
        <v>3.5</v>
      </c>
      <c r="D263" s="3">
        <v>4.08</v>
      </c>
      <c r="E263" s="8">
        <v>5910</v>
      </c>
      <c r="F263" s="10">
        <v>1.962</v>
      </c>
      <c r="G263" s="10">
        <v>1.345</v>
      </c>
      <c r="H263" s="18">
        <v>917</v>
      </c>
      <c r="I263" s="18">
        <v>92.77</v>
      </c>
      <c r="J263">
        <v>5.25</v>
      </c>
      <c r="K263" s="3">
        <v>2.1</v>
      </c>
      <c r="L263" s="3">
        <v>7.25</v>
      </c>
      <c r="M263" s="6">
        <v>4</v>
      </c>
      <c r="N263" s="14">
        <v>4.5</v>
      </c>
      <c r="O263" s="5">
        <v>807700</v>
      </c>
      <c r="P263" s="9">
        <v>421.5</v>
      </c>
      <c r="Q263" s="9">
        <v>302.25</v>
      </c>
      <c r="R263" s="9">
        <v>615</v>
      </c>
      <c r="S263" s="9">
        <v>177.75</v>
      </c>
      <c r="T263" s="9">
        <v>563</v>
      </c>
    </row>
    <row r="264" spans="1:20" ht="12.75">
      <c r="A264" s="2">
        <v>39492</v>
      </c>
      <c r="B264" s="8">
        <v>12552.2</v>
      </c>
      <c r="C264" s="3">
        <v>3.5</v>
      </c>
      <c r="D264" s="3">
        <v>4.08</v>
      </c>
      <c r="E264" s="6">
        <v>5880.1</v>
      </c>
      <c r="F264" s="15">
        <v>1.962</v>
      </c>
      <c r="G264" s="10">
        <v>1.346</v>
      </c>
      <c r="H264" s="18">
        <v>899</v>
      </c>
      <c r="I264" s="11">
        <v>93.63</v>
      </c>
      <c r="J264">
        <v>5.25</v>
      </c>
      <c r="K264" s="3">
        <v>2.1</v>
      </c>
      <c r="L264" s="3">
        <v>7.25</v>
      </c>
      <c r="M264" s="16">
        <v>4.1</v>
      </c>
      <c r="N264" s="14">
        <v>4.5</v>
      </c>
      <c r="O264" s="13">
        <v>794600</v>
      </c>
      <c r="P264" s="12">
        <v>416</v>
      </c>
      <c r="Q264" s="12">
        <v>298.75</v>
      </c>
      <c r="R264" s="12">
        <v>608</v>
      </c>
      <c r="S264" s="12">
        <v>174.5</v>
      </c>
      <c r="T264" s="12">
        <v>561</v>
      </c>
    </row>
    <row r="265" spans="1:20" ht="12.75">
      <c r="A265" s="2">
        <v>39493</v>
      </c>
      <c r="B265" s="6">
        <v>12435.3</v>
      </c>
      <c r="C265" s="3">
        <v>3.5</v>
      </c>
      <c r="D265" s="3">
        <v>4.08</v>
      </c>
      <c r="E265" s="6">
        <v>5879.3</v>
      </c>
      <c r="F265" s="10">
        <v>1.97</v>
      </c>
      <c r="G265" s="10">
        <v>1.347</v>
      </c>
      <c r="H265" s="11">
        <v>906</v>
      </c>
      <c r="I265" s="11">
        <v>94.98</v>
      </c>
      <c r="J265">
        <v>5.25</v>
      </c>
      <c r="K265" s="3">
        <v>2.1</v>
      </c>
      <c r="L265" s="3">
        <v>7.25</v>
      </c>
      <c r="M265" s="6">
        <v>4.1</v>
      </c>
      <c r="N265" s="14">
        <v>4.5</v>
      </c>
      <c r="O265" s="5">
        <v>794600</v>
      </c>
      <c r="P265" s="12">
        <v>410.5</v>
      </c>
      <c r="Q265" s="9">
        <v>304.5</v>
      </c>
      <c r="R265" s="12">
        <v>590</v>
      </c>
      <c r="S265" s="12">
        <v>174</v>
      </c>
      <c r="T265" s="9">
        <v>564</v>
      </c>
    </row>
    <row r="266" spans="1:20" ht="12.75">
      <c r="A266" s="2">
        <v>39494</v>
      </c>
      <c r="B266" s="6">
        <v>12325.5</v>
      </c>
      <c r="C266" s="3">
        <v>3.5</v>
      </c>
      <c r="D266" s="3">
        <v>4.08</v>
      </c>
      <c r="E266" s="6">
        <v>5787.6</v>
      </c>
      <c r="F266" s="20">
        <v>1.961</v>
      </c>
      <c r="G266" s="20">
        <v>1.336</v>
      </c>
      <c r="H266" s="11">
        <v>912.5</v>
      </c>
      <c r="I266" s="18">
        <v>94.32</v>
      </c>
      <c r="J266">
        <v>5.25</v>
      </c>
      <c r="K266" s="3">
        <v>2.1</v>
      </c>
      <c r="L266" s="3">
        <v>7.25</v>
      </c>
      <c r="M266" s="6">
        <v>4.1</v>
      </c>
      <c r="N266" s="14">
        <v>4.5</v>
      </c>
      <c r="O266" s="5">
        <v>794600</v>
      </c>
      <c r="P266" s="12">
        <v>395.75</v>
      </c>
      <c r="Q266" s="12">
        <v>302.5</v>
      </c>
      <c r="R266" s="12">
        <v>593</v>
      </c>
      <c r="S266" s="12">
        <v>171</v>
      </c>
      <c r="T266" s="12">
        <v>553.5</v>
      </c>
    </row>
    <row r="267" spans="1:20" ht="12.75">
      <c r="A267" s="2">
        <v>39497</v>
      </c>
      <c r="B267" s="6"/>
      <c r="C267" s="3">
        <v>3.5</v>
      </c>
      <c r="D267" s="3">
        <v>4.08</v>
      </c>
      <c r="E267" s="6">
        <v>5946.6</v>
      </c>
      <c r="F267" s="15">
        <v>1.949</v>
      </c>
      <c r="G267" s="10">
        <v>1.331</v>
      </c>
      <c r="H267" s="18">
        <v>903.25</v>
      </c>
      <c r="I267" s="11">
        <v>95.09</v>
      </c>
      <c r="J267">
        <v>5.25</v>
      </c>
      <c r="K267" s="3">
        <v>2.1</v>
      </c>
      <c r="L267" s="3">
        <v>7.25</v>
      </c>
      <c r="M267" s="6">
        <v>4.1</v>
      </c>
      <c r="N267" s="14">
        <v>4.5</v>
      </c>
      <c r="O267" s="5">
        <v>794600</v>
      </c>
      <c r="P267" s="21">
        <v>424.5</v>
      </c>
      <c r="Q267" s="9">
        <v>304.75</v>
      </c>
      <c r="R267" s="21">
        <v>622</v>
      </c>
      <c r="S267" s="21">
        <v>173.75</v>
      </c>
      <c r="T267" s="9">
        <v>568.5</v>
      </c>
    </row>
    <row r="268" spans="1:20" ht="12.75">
      <c r="A268" s="2">
        <v>39498</v>
      </c>
      <c r="B268" s="8">
        <v>12458.1</v>
      </c>
      <c r="C268" s="3">
        <v>3.5</v>
      </c>
      <c r="D268" s="17">
        <v>4.28</v>
      </c>
      <c r="E268" s="8">
        <v>5966.9</v>
      </c>
      <c r="F268" s="10">
        <v>1.951</v>
      </c>
      <c r="G268" s="15">
        <v>1.324</v>
      </c>
      <c r="H268" s="11">
        <v>924</v>
      </c>
      <c r="I268" s="11">
        <v>96.99</v>
      </c>
      <c r="J268">
        <v>5.25</v>
      </c>
      <c r="K268" s="17">
        <v>2.2</v>
      </c>
      <c r="L268" s="3">
        <v>7.25</v>
      </c>
      <c r="M268" s="6">
        <v>4.1</v>
      </c>
      <c r="N268" s="14">
        <v>4.5</v>
      </c>
      <c r="O268" s="5">
        <v>794600</v>
      </c>
      <c r="P268" s="9">
        <v>432</v>
      </c>
      <c r="Q268" s="9">
        <v>306</v>
      </c>
      <c r="R268" s="9">
        <v>623.5</v>
      </c>
      <c r="S268" s="12">
        <v>170</v>
      </c>
      <c r="T268" s="9">
        <v>572</v>
      </c>
    </row>
    <row r="269" spans="1:20" ht="12.75">
      <c r="A269" s="2">
        <v>39499</v>
      </c>
      <c r="B269" s="6">
        <v>12333</v>
      </c>
      <c r="C269" s="3">
        <v>3.5</v>
      </c>
      <c r="D269" s="3">
        <v>4.28</v>
      </c>
      <c r="E269" s="6">
        <v>5893.6</v>
      </c>
      <c r="F269" s="10">
        <v>1.942</v>
      </c>
      <c r="G269" s="10">
        <v>1.322</v>
      </c>
      <c r="H269" s="11">
        <v>920</v>
      </c>
      <c r="I269" s="11">
        <v>97.88</v>
      </c>
      <c r="J269">
        <v>5.25</v>
      </c>
      <c r="K269" s="3">
        <v>2.2</v>
      </c>
      <c r="L269" s="3">
        <v>7.25</v>
      </c>
      <c r="M269" s="6">
        <v>4.1</v>
      </c>
      <c r="N269" s="14">
        <v>4.5</v>
      </c>
      <c r="O269" s="5">
        <v>794600</v>
      </c>
      <c r="P269" s="12">
        <v>428</v>
      </c>
      <c r="Q269" s="12">
        <v>302.75</v>
      </c>
      <c r="R269" s="12">
        <v>616.5</v>
      </c>
      <c r="S269" s="12">
        <v>162</v>
      </c>
      <c r="T269" s="12">
        <v>557.5</v>
      </c>
    </row>
    <row r="270" spans="1:20" ht="12.75">
      <c r="A270" s="2">
        <v>39500</v>
      </c>
      <c r="B270" s="6">
        <v>12321.5</v>
      </c>
      <c r="C270" s="3">
        <v>3.5</v>
      </c>
      <c r="D270" s="3">
        <v>4.28</v>
      </c>
      <c r="E270" s="8">
        <v>5932.2</v>
      </c>
      <c r="F270" s="10">
        <v>1.961</v>
      </c>
      <c r="G270" s="10">
        <v>1.324</v>
      </c>
      <c r="H270" s="11">
        <v>945</v>
      </c>
      <c r="I270" s="18">
        <v>97.14</v>
      </c>
      <c r="J270">
        <v>5.25</v>
      </c>
      <c r="K270" s="3">
        <v>2.2</v>
      </c>
      <c r="L270" s="3">
        <v>7.25</v>
      </c>
      <c r="M270" s="6">
        <v>4.1</v>
      </c>
      <c r="N270" s="14">
        <v>4.5</v>
      </c>
      <c r="O270" s="5">
        <v>794600</v>
      </c>
      <c r="P270" s="9">
        <v>436.75</v>
      </c>
      <c r="Q270" s="12">
        <v>300.5</v>
      </c>
      <c r="R270" s="9">
        <v>624</v>
      </c>
      <c r="S270" s="9">
        <v>164</v>
      </c>
      <c r="T270" s="12">
        <v>551</v>
      </c>
    </row>
    <row r="271" spans="1:20" ht="12.75">
      <c r="A271" s="2">
        <v>39501</v>
      </c>
      <c r="B271" s="8">
        <v>12381</v>
      </c>
      <c r="C271" s="3">
        <v>3.5</v>
      </c>
      <c r="D271" s="3">
        <v>4.28</v>
      </c>
      <c r="E271" s="6">
        <v>5888.5</v>
      </c>
      <c r="F271" s="10">
        <v>1.967</v>
      </c>
      <c r="G271" s="10">
        <v>1.327</v>
      </c>
      <c r="H271" s="18">
        <v>943</v>
      </c>
      <c r="I271" s="18">
        <v>97.02</v>
      </c>
      <c r="J271">
        <v>5.25</v>
      </c>
      <c r="K271" s="3">
        <v>2.2</v>
      </c>
      <c r="L271" s="3">
        <v>7.25</v>
      </c>
      <c r="M271" s="6">
        <v>4.1</v>
      </c>
      <c r="N271" s="14">
        <v>4.5</v>
      </c>
      <c r="O271" s="5">
        <v>794600</v>
      </c>
      <c r="P271" s="9">
        <v>457.5</v>
      </c>
      <c r="Q271" s="12">
        <v>299.25</v>
      </c>
      <c r="R271">
        <v>610</v>
      </c>
      <c r="S271" s="12">
        <v>162.5</v>
      </c>
      <c r="T271" s="12">
        <v>548</v>
      </c>
    </row>
    <row r="272" spans="1:20" ht="12.75">
      <c r="A272" s="2">
        <v>39504</v>
      </c>
      <c r="B272" s="8">
        <v>12403.4</v>
      </c>
      <c r="C272" s="3">
        <v>3.5</v>
      </c>
      <c r="D272" s="3">
        <v>4.28</v>
      </c>
      <c r="E272" s="8">
        <v>5999.5</v>
      </c>
      <c r="F272" s="10">
        <v>1.968</v>
      </c>
      <c r="G272" s="10">
        <v>1.328</v>
      </c>
      <c r="H272" s="18">
        <v>937.75</v>
      </c>
      <c r="I272" s="11">
        <v>97.44</v>
      </c>
      <c r="J272">
        <v>5.25</v>
      </c>
      <c r="K272" s="3">
        <v>2.2</v>
      </c>
      <c r="L272" s="3">
        <v>7.25</v>
      </c>
      <c r="M272" s="6">
        <v>4.1</v>
      </c>
      <c r="N272" s="14">
        <v>4.5</v>
      </c>
      <c r="O272" s="5">
        <v>794600</v>
      </c>
      <c r="P272" s="9">
        <v>466.5</v>
      </c>
      <c r="Q272" s="12">
        <v>297.5</v>
      </c>
      <c r="R272">
        <v>628</v>
      </c>
      <c r="S272" s="12">
        <v>165</v>
      </c>
      <c r="T272" s="12">
        <v>562.5</v>
      </c>
    </row>
    <row r="273" spans="1:20" ht="12.75">
      <c r="A273" s="2">
        <v>39505</v>
      </c>
      <c r="B273" s="8">
        <v>12684.9</v>
      </c>
      <c r="C273" s="3">
        <v>3.5</v>
      </c>
      <c r="D273" s="3">
        <v>4.28</v>
      </c>
      <c r="E273" s="8">
        <v>6087.4</v>
      </c>
      <c r="F273" s="10">
        <v>1.98</v>
      </c>
      <c r="G273" s="10">
        <v>1.328</v>
      </c>
      <c r="H273" s="18">
        <v>937</v>
      </c>
      <c r="I273" s="11">
        <v>99.5</v>
      </c>
      <c r="J273">
        <v>5.25</v>
      </c>
      <c r="K273" s="3">
        <v>2.2</v>
      </c>
      <c r="L273" s="3">
        <v>7.25</v>
      </c>
      <c r="M273" s="6">
        <v>4.1</v>
      </c>
      <c r="N273" s="14">
        <v>4.5</v>
      </c>
      <c r="O273" s="5">
        <v>794600</v>
      </c>
      <c r="P273" s="9">
        <v>482.25</v>
      </c>
      <c r="Q273" s="9">
        <v>304.5</v>
      </c>
      <c r="R273" s="9">
        <v>646</v>
      </c>
      <c r="S273" s="9">
        <v>168</v>
      </c>
      <c r="T273" s="9">
        <v>566.5</v>
      </c>
    </row>
    <row r="274" spans="1:20" ht="12.75">
      <c r="A274" s="2">
        <v>39506</v>
      </c>
      <c r="B274" s="8">
        <v>12694.2</v>
      </c>
      <c r="C274" s="3">
        <v>3.5</v>
      </c>
      <c r="D274" s="3">
        <v>4.28</v>
      </c>
      <c r="E274" s="6">
        <v>6076.5</v>
      </c>
      <c r="F274" s="10">
        <v>1.991</v>
      </c>
      <c r="G274" s="15">
        <v>1.316</v>
      </c>
      <c r="H274" s="11">
        <v>959.5</v>
      </c>
      <c r="I274" s="18">
        <v>99.12</v>
      </c>
      <c r="J274">
        <v>5.25</v>
      </c>
      <c r="K274" s="3">
        <v>2.2</v>
      </c>
      <c r="L274" s="3">
        <v>7.25</v>
      </c>
      <c r="M274" s="6">
        <v>4.1</v>
      </c>
      <c r="N274" s="14">
        <v>4.5</v>
      </c>
      <c r="O274" s="5">
        <v>794600</v>
      </c>
      <c r="P274" s="12">
        <v>476.25</v>
      </c>
      <c r="Q274" s="12">
        <v>300</v>
      </c>
      <c r="R274">
        <v>643.5</v>
      </c>
      <c r="S274" s="12">
        <v>164.25</v>
      </c>
      <c r="T274" s="12">
        <v>561.5</v>
      </c>
    </row>
    <row r="275" spans="1:20" ht="12.75">
      <c r="A275" s="2">
        <v>39507</v>
      </c>
      <c r="B275" s="6">
        <v>12549.7</v>
      </c>
      <c r="C275" s="3">
        <v>3.5</v>
      </c>
      <c r="D275" s="3">
        <v>4.28</v>
      </c>
      <c r="E275" s="6">
        <v>5965.7</v>
      </c>
      <c r="F275" s="10">
        <v>1.991</v>
      </c>
      <c r="G275" s="15">
        <v>1.31</v>
      </c>
      <c r="H275" s="11">
        <v>959.75</v>
      </c>
      <c r="I275" s="11">
        <v>99.81</v>
      </c>
      <c r="J275">
        <v>5.25</v>
      </c>
      <c r="K275" s="3">
        <v>2.2</v>
      </c>
      <c r="L275" s="3">
        <v>7.25</v>
      </c>
      <c r="M275" s="6">
        <v>4.1</v>
      </c>
      <c r="N275" s="14">
        <v>4.5</v>
      </c>
      <c r="O275" s="5">
        <v>794600</v>
      </c>
      <c r="P275" s="12">
        <v>463.5</v>
      </c>
      <c r="Q275" s="12">
        <v>294</v>
      </c>
      <c r="R275">
        <v>628.5</v>
      </c>
      <c r="S275" s="12">
        <v>161.5</v>
      </c>
      <c r="T275" s="12">
        <v>548</v>
      </c>
    </row>
    <row r="276" spans="1:20" ht="12.75">
      <c r="A276" s="2">
        <v>39508</v>
      </c>
      <c r="B276" s="6">
        <v>12367.8</v>
      </c>
      <c r="C276" s="3">
        <v>3.5</v>
      </c>
      <c r="D276" s="3">
        <v>4.28</v>
      </c>
      <c r="E276" s="6">
        <v>5884.3</v>
      </c>
      <c r="F276" s="15">
        <v>1.986</v>
      </c>
      <c r="G276" s="15">
        <v>1.308</v>
      </c>
      <c r="H276" s="11">
        <v>971.5</v>
      </c>
      <c r="I276" s="11">
        <v>100.15</v>
      </c>
      <c r="J276">
        <v>5.25</v>
      </c>
      <c r="K276" s="3">
        <v>2.2</v>
      </c>
      <c r="L276" s="3">
        <v>7.25</v>
      </c>
      <c r="M276" s="6">
        <v>4.1</v>
      </c>
      <c r="N276" s="14">
        <v>4.5</v>
      </c>
      <c r="O276" s="5">
        <v>794600</v>
      </c>
      <c r="P276" s="12">
        <v>453.5</v>
      </c>
      <c r="Q276" s="9">
        <v>297.5</v>
      </c>
      <c r="R276">
        <v>610.5</v>
      </c>
      <c r="S276" s="9">
        <v>162.75</v>
      </c>
      <c r="T276" s="12">
        <v>546</v>
      </c>
    </row>
    <row r="277" spans="1:20" ht="12.75">
      <c r="A277" s="2">
        <v>39511</v>
      </c>
      <c r="B277" s="6">
        <v>12258.9</v>
      </c>
      <c r="C277" s="3">
        <v>3.5</v>
      </c>
      <c r="D277" s="3">
        <v>4.28</v>
      </c>
      <c r="E277" s="6">
        <v>5818.6</v>
      </c>
      <c r="F277" s="15">
        <v>1.985</v>
      </c>
      <c r="G277" s="15">
        <v>1.308</v>
      </c>
      <c r="H277" s="11">
        <v>988.5</v>
      </c>
      <c r="I277" s="11">
        <v>101.3</v>
      </c>
      <c r="J277">
        <v>5.25</v>
      </c>
      <c r="K277" s="3">
        <v>2.2</v>
      </c>
      <c r="L277" s="3">
        <v>7.25</v>
      </c>
      <c r="M277" s="6">
        <v>4.1</v>
      </c>
      <c r="N277" s="14">
        <v>4.5</v>
      </c>
      <c r="O277" s="5">
        <v>794600</v>
      </c>
      <c r="P277" s="12">
        <v>444.5</v>
      </c>
      <c r="Q277" s="12">
        <v>289.75</v>
      </c>
      <c r="R277">
        <v>601</v>
      </c>
      <c r="S277" s="12">
        <v>160</v>
      </c>
      <c r="T277" s="12">
        <v>540.5</v>
      </c>
    </row>
    <row r="278" spans="1:20" ht="12.75">
      <c r="A278" s="2">
        <v>39512</v>
      </c>
      <c r="B278" s="6">
        <v>12213.8</v>
      </c>
      <c r="C278" s="3">
        <v>3.5</v>
      </c>
      <c r="D278" s="3">
        <v>4.28</v>
      </c>
      <c r="E278" s="6">
        <v>5767.7</v>
      </c>
      <c r="F278" s="15">
        <v>1.985</v>
      </c>
      <c r="G278" s="15">
        <v>1.305</v>
      </c>
      <c r="H278" s="18">
        <v>984.75</v>
      </c>
      <c r="I278" s="18">
        <v>98</v>
      </c>
      <c r="J278">
        <v>5.25</v>
      </c>
      <c r="K278" s="3">
        <v>2.2</v>
      </c>
      <c r="L278" s="3">
        <v>7.25</v>
      </c>
      <c r="M278" s="6">
        <v>4.1</v>
      </c>
      <c r="N278" s="14">
        <v>4.5</v>
      </c>
      <c r="O278" s="5">
        <v>794600</v>
      </c>
      <c r="P278" s="12">
        <v>440.25</v>
      </c>
      <c r="Q278" s="12">
        <v>286.75</v>
      </c>
      <c r="R278" s="9">
        <v>602.5</v>
      </c>
      <c r="S278" s="12">
        <v>157.5</v>
      </c>
      <c r="T278" s="12">
        <v>536</v>
      </c>
    </row>
    <row r="279" spans="1:20" ht="12.75">
      <c r="A279" s="2">
        <v>39513</v>
      </c>
      <c r="B279" s="8">
        <v>12254.9</v>
      </c>
      <c r="C279" s="3">
        <v>3.5</v>
      </c>
      <c r="D279" s="3">
        <v>4.28</v>
      </c>
      <c r="E279" s="8">
        <v>5853.5</v>
      </c>
      <c r="F279" s="10">
        <v>1.996</v>
      </c>
      <c r="G279" s="10">
        <v>1.306</v>
      </c>
      <c r="H279" s="18">
        <v>974.5</v>
      </c>
      <c r="I279" s="11">
        <v>101.01</v>
      </c>
      <c r="J279">
        <v>5.25</v>
      </c>
      <c r="K279" s="3">
        <v>2.2</v>
      </c>
      <c r="L279" s="3">
        <v>7.25</v>
      </c>
      <c r="M279" s="6">
        <v>4.1</v>
      </c>
      <c r="N279" s="14">
        <v>4.5</v>
      </c>
      <c r="O279" s="5">
        <v>794600</v>
      </c>
      <c r="P279" s="12">
        <v>428.25</v>
      </c>
      <c r="Q279" s="9">
        <v>294.5</v>
      </c>
      <c r="R279" s="9">
        <v>643.5</v>
      </c>
      <c r="S279" s="9">
        <v>160</v>
      </c>
      <c r="T279" s="9">
        <v>547</v>
      </c>
    </row>
    <row r="280" spans="1:20" ht="12.75">
      <c r="A280" s="2">
        <v>39514</v>
      </c>
      <c r="B280" s="6">
        <v>12212.2</v>
      </c>
      <c r="C280" s="3">
        <v>3.5</v>
      </c>
      <c r="D280" s="3">
        <v>4.28</v>
      </c>
      <c r="E280" s="6">
        <v>5766.4</v>
      </c>
      <c r="F280" s="10">
        <v>2.007</v>
      </c>
      <c r="G280" s="10">
        <v>1.307</v>
      </c>
      <c r="H280" s="11">
        <v>974.5</v>
      </c>
      <c r="I280" s="11">
        <v>101.45</v>
      </c>
      <c r="J280">
        <v>5.25</v>
      </c>
      <c r="K280" s="3">
        <v>2.2</v>
      </c>
      <c r="L280" s="3">
        <v>7.25</v>
      </c>
      <c r="M280" s="6">
        <v>4.1</v>
      </c>
      <c r="N280" s="16">
        <v>4.2</v>
      </c>
      <c r="O280" s="5">
        <v>794600</v>
      </c>
      <c r="P280" s="12">
        <v>413.75</v>
      </c>
      <c r="Q280" s="9">
        <v>295.75</v>
      </c>
      <c r="R280">
        <v>621.5</v>
      </c>
      <c r="S280" s="12">
        <v>156.5</v>
      </c>
      <c r="T280" s="12">
        <v>534.5</v>
      </c>
    </row>
    <row r="281" spans="1:20" ht="12.75">
      <c r="A281" s="2">
        <v>39518</v>
      </c>
      <c r="B281" s="6">
        <v>11819.7</v>
      </c>
      <c r="C281" s="3">
        <v>3.5</v>
      </c>
      <c r="D281" s="3">
        <v>4.28</v>
      </c>
      <c r="E281" s="6">
        <v>5629.1</v>
      </c>
      <c r="F281" s="10">
        <v>2.011</v>
      </c>
      <c r="G281" s="10">
        <v>1.311</v>
      </c>
      <c r="H281" s="18">
        <v>969.25</v>
      </c>
      <c r="I281" s="11">
        <v>104.01</v>
      </c>
      <c r="J281">
        <v>5.25</v>
      </c>
      <c r="K281" s="3">
        <v>2.2</v>
      </c>
      <c r="L281" s="3">
        <v>7.25</v>
      </c>
      <c r="M281" s="6">
        <v>4.1</v>
      </c>
      <c r="N281" s="14">
        <v>4.2</v>
      </c>
      <c r="O281" s="5">
        <v>794600</v>
      </c>
      <c r="P281" s="9">
        <v>421</v>
      </c>
      <c r="Q281" s="12">
        <v>293.5</v>
      </c>
      <c r="R281" s="9">
        <v>622.5</v>
      </c>
      <c r="S281" s="12">
        <v>151.5</v>
      </c>
      <c r="T281" s="12">
        <v>534</v>
      </c>
    </row>
    <row r="282" spans="1:20" ht="12.75">
      <c r="A282" s="2">
        <v>39519</v>
      </c>
      <c r="B282" s="8">
        <v>12156.8</v>
      </c>
      <c r="C282" s="3">
        <v>3.5</v>
      </c>
      <c r="D282" s="3">
        <v>4.28</v>
      </c>
      <c r="E282" s="8">
        <v>5690.4</v>
      </c>
      <c r="F282" s="15">
        <v>2.006</v>
      </c>
      <c r="G282" s="15">
        <v>1.308</v>
      </c>
      <c r="H282" s="18">
        <v>970</v>
      </c>
      <c r="I282" s="11">
        <v>104.47</v>
      </c>
      <c r="J282">
        <v>5.25</v>
      </c>
      <c r="K282" s="3">
        <v>2.2</v>
      </c>
      <c r="L282" s="3">
        <v>7.25</v>
      </c>
      <c r="M282" s="6">
        <v>4.1</v>
      </c>
      <c r="N282" s="14">
        <v>4.2</v>
      </c>
      <c r="O282" s="5">
        <v>794600</v>
      </c>
      <c r="P282" s="9">
        <v>433.25</v>
      </c>
      <c r="Q282" s="12">
        <v>291.5</v>
      </c>
      <c r="R282" s="9">
        <v>639.5</v>
      </c>
      <c r="S282" s="9">
        <v>154.25</v>
      </c>
      <c r="T282" s="9">
        <v>538.5</v>
      </c>
    </row>
    <row r="283" spans="1:20" ht="12.75">
      <c r="A283" s="2">
        <v>39520</v>
      </c>
      <c r="B283" s="6">
        <v>12110.6</v>
      </c>
      <c r="C283" s="3">
        <v>3.5</v>
      </c>
      <c r="D283" s="3">
        <v>4.28</v>
      </c>
      <c r="E283" s="8">
        <v>5776.4</v>
      </c>
      <c r="F283" s="10">
        <v>2.022</v>
      </c>
      <c r="G283" s="15">
        <v>1.304</v>
      </c>
      <c r="H283" s="11">
        <v>975.5</v>
      </c>
      <c r="I283" s="11">
        <v>105.94</v>
      </c>
      <c r="J283">
        <v>5.25</v>
      </c>
      <c r="K283" s="3">
        <v>2.2</v>
      </c>
      <c r="L283" s="3">
        <v>7.25</v>
      </c>
      <c r="M283" s="6">
        <v>4.1</v>
      </c>
      <c r="N283" s="14">
        <v>4.2</v>
      </c>
      <c r="O283" s="5">
        <v>794600</v>
      </c>
      <c r="P283" s="9">
        <v>444</v>
      </c>
      <c r="Q283" s="9">
        <v>295.25</v>
      </c>
      <c r="R283" s="9">
        <v>659</v>
      </c>
      <c r="S283" s="12">
        <v>153.75</v>
      </c>
      <c r="T283" s="9">
        <v>545.5</v>
      </c>
    </row>
    <row r="284" spans="1:20" ht="12.75">
      <c r="A284" s="2">
        <v>39521</v>
      </c>
      <c r="B284" s="8">
        <v>12145.7</v>
      </c>
      <c r="C284" s="3">
        <v>3.5</v>
      </c>
      <c r="D284" s="17">
        <v>4.03</v>
      </c>
      <c r="E284" s="6">
        <v>5692.4</v>
      </c>
      <c r="F284" s="10">
        <v>2.03</v>
      </c>
      <c r="G284" s="15">
        <v>1.303</v>
      </c>
      <c r="H284" s="11">
        <v>995</v>
      </c>
      <c r="I284" s="11">
        <v>106.3</v>
      </c>
      <c r="J284">
        <v>5.25</v>
      </c>
      <c r="K284" s="3">
        <v>2.2</v>
      </c>
      <c r="L284" s="3">
        <v>7.25</v>
      </c>
      <c r="M284" s="6">
        <v>4.1</v>
      </c>
      <c r="N284" s="14">
        <v>4.2</v>
      </c>
      <c r="O284" s="5">
        <v>794600</v>
      </c>
      <c r="P284" s="12">
        <v>430</v>
      </c>
      <c r="Q284" s="12">
        <v>289.75</v>
      </c>
      <c r="R284" s="12">
        <v>654</v>
      </c>
      <c r="S284" s="12">
        <v>152</v>
      </c>
      <c r="T284" s="12">
        <v>534</v>
      </c>
    </row>
    <row r="285" spans="1:20" ht="12.75">
      <c r="A285" s="2">
        <v>39522</v>
      </c>
      <c r="B285" s="6">
        <v>11951.1</v>
      </c>
      <c r="C285" s="3">
        <v>3.5</v>
      </c>
      <c r="D285" s="18">
        <v>4.03</v>
      </c>
      <c r="E285" s="6">
        <v>5631.7</v>
      </c>
      <c r="F285" s="15">
        <v>2.024</v>
      </c>
      <c r="G285" s="15">
        <v>1.294</v>
      </c>
      <c r="H285" s="11">
        <v>1003.5</v>
      </c>
      <c r="I285" s="11">
        <v>107.26</v>
      </c>
      <c r="J285">
        <v>5.25</v>
      </c>
      <c r="K285" s="3">
        <v>2.2</v>
      </c>
      <c r="L285" s="3">
        <v>7.25</v>
      </c>
      <c r="M285" s="6">
        <v>4.1</v>
      </c>
      <c r="N285" s="14">
        <v>4.2</v>
      </c>
      <c r="O285" s="5">
        <v>794600</v>
      </c>
      <c r="P285" s="12">
        <v>421.25</v>
      </c>
      <c r="Q285" s="12">
        <v>278.5</v>
      </c>
      <c r="R285" s="12">
        <v>622</v>
      </c>
      <c r="S285" s="12">
        <v>150</v>
      </c>
      <c r="T285" s="12">
        <v>529.5</v>
      </c>
    </row>
    <row r="286" spans="1:20" ht="12.75">
      <c r="A286" s="2">
        <v>39525</v>
      </c>
      <c r="B286" s="6">
        <v>11806</v>
      </c>
      <c r="C286" s="3">
        <v>3.5</v>
      </c>
      <c r="D286" s="18">
        <v>4.03</v>
      </c>
      <c r="E286" s="6">
        <v>5414.4</v>
      </c>
      <c r="F286" s="15">
        <v>1.9955</v>
      </c>
      <c r="G286" s="15">
        <v>1.269</v>
      </c>
      <c r="H286" s="11">
        <v>1011.25</v>
      </c>
      <c r="I286" s="18">
        <v>100.66</v>
      </c>
      <c r="J286">
        <v>5.25</v>
      </c>
      <c r="K286" s="3">
        <v>2.2</v>
      </c>
      <c r="L286" s="3">
        <v>7.25</v>
      </c>
      <c r="M286" s="6">
        <v>4.1</v>
      </c>
      <c r="N286" s="14">
        <v>4.2</v>
      </c>
      <c r="O286" s="5">
        <v>794600</v>
      </c>
      <c r="P286" s="12">
        <v>397.75</v>
      </c>
      <c r="Q286" s="12">
        <v>274</v>
      </c>
      <c r="R286" s="12">
        <v>588</v>
      </c>
      <c r="S286" s="12">
        <v>148.75</v>
      </c>
      <c r="T286" s="12">
        <v>510</v>
      </c>
    </row>
    <row r="287" spans="1:20" ht="12.75">
      <c r="A287" s="2">
        <v>39526</v>
      </c>
      <c r="B287" s="8">
        <v>12392.6</v>
      </c>
      <c r="C287" s="17">
        <v>2.25</v>
      </c>
      <c r="D287" s="18">
        <v>4.03</v>
      </c>
      <c r="E287" s="8">
        <v>5605.8</v>
      </c>
      <c r="F287" s="10">
        <v>2.026</v>
      </c>
      <c r="G287" s="10">
        <v>1.283</v>
      </c>
      <c r="H287" s="18">
        <v>1006.75</v>
      </c>
      <c r="I287" s="11">
        <v>104.17</v>
      </c>
      <c r="J287">
        <v>5.25</v>
      </c>
      <c r="K287" s="17">
        <v>2.5</v>
      </c>
      <c r="L287" s="3">
        <v>7.25</v>
      </c>
      <c r="M287" s="6">
        <v>4.1</v>
      </c>
      <c r="N287" s="14">
        <v>4.2</v>
      </c>
      <c r="O287" s="5">
        <v>794600</v>
      </c>
      <c r="P287" s="9">
        <v>416.5</v>
      </c>
      <c r="Q287" s="9">
        <v>282.25</v>
      </c>
      <c r="R287" s="9">
        <v>625</v>
      </c>
      <c r="S287" s="9">
        <v>153</v>
      </c>
      <c r="T287" s="9">
        <v>519</v>
      </c>
    </row>
    <row r="288" spans="1:20" ht="12.75">
      <c r="A288" s="2">
        <v>39527</v>
      </c>
      <c r="B288" s="6">
        <v>12099.66</v>
      </c>
      <c r="C288" s="3">
        <v>2.25</v>
      </c>
      <c r="D288" s="3">
        <v>4.03</v>
      </c>
      <c r="E288" s="6">
        <v>5545.6</v>
      </c>
      <c r="F288" s="15">
        <v>1.985</v>
      </c>
      <c r="G288" s="10">
        <v>1.268</v>
      </c>
      <c r="H288" s="18">
        <v>958.5</v>
      </c>
      <c r="I288" s="18">
        <v>100.88</v>
      </c>
      <c r="J288">
        <v>5.25</v>
      </c>
      <c r="K288" s="3">
        <v>2.5</v>
      </c>
      <c r="L288" s="3">
        <v>7.25</v>
      </c>
      <c r="M288" s="6">
        <v>4.1</v>
      </c>
      <c r="N288" s="14">
        <v>4.2</v>
      </c>
      <c r="O288" s="13">
        <v>793500</v>
      </c>
      <c r="P288" s="9">
        <v>427.25</v>
      </c>
      <c r="Q288" s="12">
        <v>277.75</v>
      </c>
      <c r="R288" s="9">
        <v>634</v>
      </c>
      <c r="S288" s="12">
        <v>147.5</v>
      </c>
      <c r="T288" s="12">
        <v>511.5</v>
      </c>
    </row>
    <row r="289" spans="1:20" ht="12.75">
      <c r="A289" s="2">
        <v>39528</v>
      </c>
      <c r="B289" s="8">
        <v>12361.32</v>
      </c>
      <c r="C289" s="3">
        <v>2.25</v>
      </c>
      <c r="D289" s="3">
        <v>4.03</v>
      </c>
      <c r="E289" s="6">
        <v>5495.2</v>
      </c>
      <c r="F289" s="15">
        <v>1.984</v>
      </c>
      <c r="G289" s="10">
        <v>1.283</v>
      </c>
      <c r="H289" s="18">
        <v>925.75</v>
      </c>
      <c r="I289" s="18">
        <v>99.48</v>
      </c>
      <c r="J289">
        <v>5.25</v>
      </c>
      <c r="K289" s="3">
        <v>2.5</v>
      </c>
      <c r="L289" s="3">
        <v>7.25</v>
      </c>
      <c r="M289" s="6">
        <v>4.1</v>
      </c>
      <c r="N289" s="14">
        <v>4.2</v>
      </c>
      <c r="O289" s="5">
        <v>793500</v>
      </c>
      <c r="P289" s="9">
        <v>434</v>
      </c>
      <c r="Q289" s="9">
        <v>279.5</v>
      </c>
      <c r="R289" s="9">
        <v>635</v>
      </c>
      <c r="S289" s="9">
        <v>149.25</v>
      </c>
      <c r="T289" s="12">
        <v>496</v>
      </c>
    </row>
    <row r="290" spans="1:20" ht="12.75">
      <c r="A290" s="2">
        <v>39533</v>
      </c>
      <c r="B290" s="8">
        <v>12532.6</v>
      </c>
      <c r="C290" s="3">
        <v>2.25</v>
      </c>
      <c r="D290" s="3">
        <v>4.03</v>
      </c>
      <c r="E290" s="8">
        <v>5689.1</v>
      </c>
      <c r="F290" s="10">
        <v>2.002</v>
      </c>
      <c r="G290" s="15">
        <v>1.282</v>
      </c>
      <c r="H290" s="11">
        <v>926.75</v>
      </c>
      <c r="I290" s="11">
        <v>100</v>
      </c>
      <c r="J290">
        <v>5.25</v>
      </c>
      <c r="K290" s="3">
        <v>2.5</v>
      </c>
      <c r="L290" s="3">
        <v>7.25</v>
      </c>
      <c r="M290" s="6">
        <v>4.1</v>
      </c>
      <c r="N290" s="14">
        <v>4.2</v>
      </c>
      <c r="O290" s="5">
        <v>793500</v>
      </c>
      <c r="P290" s="9">
        <v>461.5</v>
      </c>
      <c r="Q290" s="12">
        <v>272</v>
      </c>
      <c r="R290" s="9">
        <v>661.5</v>
      </c>
      <c r="S290" s="9">
        <v>152</v>
      </c>
      <c r="T290" s="9">
        <v>515</v>
      </c>
    </row>
    <row r="291" spans="1:20" ht="12.75">
      <c r="A291" s="2">
        <v>39534</v>
      </c>
      <c r="B291" s="6">
        <v>12422.9</v>
      </c>
      <c r="C291" s="3">
        <v>2.25</v>
      </c>
      <c r="D291" s="3">
        <v>4.03</v>
      </c>
      <c r="E291" s="6">
        <v>5660.4</v>
      </c>
      <c r="F291" s="10">
        <v>2.006</v>
      </c>
      <c r="G291" s="15">
        <v>1.272</v>
      </c>
      <c r="H291" s="11">
        <v>946.75</v>
      </c>
      <c r="I291" s="11">
        <v>103.62</v>
      </c>
      <c r="J291">
        <v>5.25</v>
      </c>
      <c r="K291" s="3">
        <v>2.5</v>
      </c>
      <c r="L291" s="3">
        <v>7.25</v>
      </c>
      <c r="M291" s="6">
        <v>4.1</v>
      </c>
      <c r="N291" s="14">
        <v>4.2</v>
      </c>
      <c r="O291" s="5">
        <v>793500</v>
      </c>
      <c r="P291" s="9">
        <v>461.75</v>
      </c>
      <c r="Q291" s="9">
        <v>274</v>
      </c>
      <c r="R291" s="12">
        <v>653</v>
      </c>
      <c r="S291" s="9">
        <v>153.5</v>
      </c>
      <c r="T291" s="9">
        <v>515.5</v>
      </c>
    </row>
    <row r="292" spans="1:20" ht="12.75">
      <c r="A292" s="2">
        <v>39535</v>
      </c>
      <c r="B292" s="6">
        <v>12302.4</v>
      </c>
      <c r="C292" s="3">
        <v>2.25</v>
      </c>
      <c r="D292" s="3">
        <v>4.03</v>
      </c>
      <c r="E292" s="8">
        <v>5717.5</v>
      </c>
      <c r="F292" s="10">
        <v>2.007</v>
      </c>
      <c r="G292" s="15">
        <v>1.27</v>
      </c>
      <c r="H292" s="18">
        <v>946.75</v>
      </c>
      <c r="I292" s="11">
        <v>104.92</v>
      </c>
      <c r="J292">
        <v>5.25</v>
      </c>
      <c r="K292" s="3">
        <v>2.5</v>
      </c>
      <c r="L292" s="3">
        <v>7.25</v>
      </c>
      <c r="M292" s="6">
        <v>4.1</v>
      </c>
      <c r="N292" s="14">
        <v>4.2</v>
      </c>
      <c r="O292" s="5">
        <v>793500</v>
      </c>
      <c r="P292" s="12">
        <v>459.5</v>
      </c>
      <c r="Q292" s="9">
        <v>277.25</v>
      </c>
      <c r="R292" s="9">
        <v>662</v>
      </c>
      <c r="S292" s="9">
        <v>157.5</v>
      </c>
      <c r="T292" s="12">
        <v>512</v>
      </c>
    </row>
    <row r="293" spans="1:20" ht="12.75">
      <c r="A293" s="2">
        <v>39536</v>
      </c>
      <c r="B293" s="6">
        <v>12216.4</v>
      </c>
      <c r="C293" s="3">
        <v>2.25</v>
      </c>
      <c r="D293" s="3">
        <v>4.03</v>
      </c>
      <c r="E293" s="6">
        <v>5692.9</v>
      </c>
      <c r="F293" s="15">
        <v>1.992</v>
      </c>
      <c r="G293" s="15">
        <v>1.264</v>
      </c>
      <c r="H293" s="18">
        <v>934.25</v>
      </c>
      <c r="I293" s="18">
        <v>103.43</v>
      </c>
      <c r="J293">
        <v>5.25</v>
      </c>
      <c r="K293" s="3">
        <v>2.5</v>
      </c>
      <c r="L293" s="3">
        <v>7.25</v>
      </c>
      <c r="M293" s="6">
        <v>4.1</v>
      </c>
      <c r="N293" s="14">
        <v>4.2</v>
      </c>
      <c r="O293" s="5">
        <v>793500</v>
      </c>
      <c r="P293" s="12">
        <v>451.25</v>
      </c>
      <c r="Q293" s="9">
        <v>278</v>
      </c>
      <c r="R293" s="9">
        <v>672.5</v>
      </c>
      <c r="S293" s="12">
        <v>157</v>
      </c>
      <c r="T293" s="12">
        <v>503</v>
      </c>
    </row>
    <row r="294" spans="1:20" ht="12.75">
      <c r="A294" s="2">
        <v>39539</v>
      </c>
      <c r="B294" s="8">
        <v>12262.89</v>
      </c>
      <c r="C294" s="3">
        <v>2.25</v>
      </c>
      <c r="D294" s="3">
        <v>4.03</v>
      </c>
      <c r="E294" s="8">
        <v>5702.1</v>
      </c>
      <c r="F294" s="10">
        <v>1.984</v>
      </c>
      <c r="G294" s="15">
        <v>1.256</v>
      </c>
      <c r="H294" s="18">
        <v>933.5</v>
      </c>
      <c r="I294" s="11">
        <v>100.71</v>
      </c>
      <c r="J294">
        <v>5.25</v>
      </c>
      <c r="K294" s="3">
        <v>2.5</v>
      </c>
      <c r="L294" s="3">
        <v>7.25</v>
      </c>
      <c r="M294" s="6">
        <v>4.1</v>
      </c>
      <c r="N294" s="14">
        <v>4.2</v>
      </c>
      <c r="O294" s="5">
        <v>793500</v>
      </c>
      <c r="P294" s="12">
        <v>451</v>
      </c>
      <c r="Q294" s="12">
        <v>274.25</v>
      </c>
      <c r="R294" s="12">
        <v>665.5</v>
      </c>
      <c r="S294" s="12">
        <v>151</v>
      </c>
      <c r="T294" s="9">
        <v>512</v>
      </c>
    </row>
    <row r="295" spans="1:20" ht="12.75">
      <c r="A295" s="2">
        <v>39540</v>
      </c>
      <c r="B295" s="8">
        <v>12654.36</v>
      </c>
      <c r="C295" s="3">
        <v>2.25</v>
      </c>
      <c r="D295" s="3">
        <v>4.03</v>
      </c>
      <c r="E295" s="8">
        <v>5852.6</v>
      </c>
      <c r="F295" s="15">
        <v>1.978</v>
      </c>
      <c r="G295" s="10">
        <v>1.268</v>
      </c>
      <c r="H295" s="18">
        <v>887.75</v>
      </c>
      <c r="I295" s="11">
        <v>100.81</v>
      </c>
      <c r="J295">
        <v>5.25</v>
      </c>
      <c r="K295" s="3">
        <v>2.5</v>
      </c>
      <c r="L295" s="3">
        <v>7.25</v>
      </c>
      <c r="M295" s="6">
        <v>4.1</v>
      </c>
      <c r="N295" s="14">
        <v>4.2</v>
      </c>
      <c r="O295" s="5">
        <v>793500</v>
      </c>
      <c r="P295" s="9">
        <v>480.25</v>
      </c>
      <c r="Q295" s="9">
        <v>285</v>
      </c>
      <c r="R295" s="9">
        <v>687.5</v>
      </c>
      <c r="S295" s="9">
        <v>154.25</v>
      </c>
      <c r="T295" s="12">
        <v>512</v>
      </c>
    </row>
    <row r="296" spans="1:20" ht="12.75">
      <c r="A296" s="2">
        <v>39541</v>
      </c>
      <c r="B296" s="6">
        <v>12608.9</v>
      </c>
      <c r="C296" s="3">
        <v>2.25</v>
      </c>
      <c r="D296" s="3">
        <v>4.03</v>
      </c>
      <c r="E296" s="8">
        <v>5915.9</v>
      </c>
      <c r="F296" s="10">
        <v>1.983</v>
      </c>
      <c r="G296" s="10">
        <v>1.269</v>
      </c>
      <c r="H296" s="18">
        <v>887.75</v>
      </c>
      <c r="I296" s="18">
        <v>100.2</v>
      </c>
      <c r="J296">
        <v>5.25</v>
      </c>
      <c r="K296" s="3">
        <v>2.5</v>
      </c>
      <c r="L296" s="3">
        <v>7.25</v>
      </c>
      <c r="M296" s="6">
        <v>4.1</v>
      </c>
      <c r="N296" s="14">
        <v>4.2</v>
      </c>
      <c r="O296" s="5">
        <v>793500</v>
      </c>
      <c r="P296" s="9">
        <v>483.25</v>
      </c>
      <c r="Q296" s="12">
        <v>279.25</v>
      </c>
      <c r="R296" s="9">
        <v>703</v>
      </c>
      <c r="S296" s="9">
        <v>158.5</v>
      </c>
      <c r="T296" s="9">
        <v>520.5</v>
      </c>
    </row>
    <row r="297" spans="1:20" ht="12.75">
      <c r="A297" s="2">
        <v>39542</v>
      </c>
      <c r="B297" s="8">
        <v>12626.03</v>
      </c>
      <c r="C297" s="3">
        <v>2.25</v>
      </c>
      <c r="D297" s="3">
        <v>4.03</v>
      </c>
      <c r="E297" s="6">
        <v>5891.3</v>
      </c>
      <c r="F297" s="10">
        <v>1.996</v>
      </c>
      <c r="G297" s="10">
        <v>1.274</v>
      </c>
      <c r="H297" s="18">
        <v>896.5</v>
      </c>
      <c r="I297" s="11">
        <v>103.91</v>
      </c>
      <c r="J297">
        <v>5.25</v>
      </c>
      <c r="K297" s="3">
        <v>2.5</v>
      </c>
      <c r="L297" s="3">
        <v>7.25</v>
      </c>
      <c r="M297" s="6">
        <v>4.1</v>
      </c>
      <c r="N297" s="14">
        <v>4.2</v>
      </c>
      <c r="O297" s="5">
        <v>793500</v>
      </c>
      <c r="P297" s="12">
        <v>462.75</v>
      </c>
      <c r="Q297" s="12">
        <v>279</v>
      </c>
      <c r="R297" s="12">
        <v>680</v>
      </c>
      <c r="S297" s="9">
        <v>160.5</v>
      </c>
      <c r="T297" s="9">
        <v>522.5</v>
      </c>
    </row>
    <row r="298" spans="1:20" ht="12.75">
      <c r="A298" s="2">
        <v>39546</v>
      </c>
      <c r="B298" s="6">
        <v>12612.43</v>
      </c>
      <c r="C298" s="3">
        <v>2.25</v>
      </c>
      <c r="D298" s="3">
        <v>4.03</v>
      </c>
      <c r="E298" s="8">
        <v>6014.8</v>
      </c>
      <c r="F298" s="15">
        <v>1.985</v>
      </c>
      <c r="G298" s="15">
        <v>1.264</v>
      </c>
      <c r="H298" s="11">
        <v>926.5</v>
      </c>
      <c r="I298" s="11">
        <v>106.94</v>
      </c>
      <c r="J298">
        <v>5.25</v>
      </c>
      <c r="K298" s="3">
        <v>2.5</v>
      </c>
      <c r="L298" s="3">
        <v>7.25</v>
      </c>
      <c r="M298" s="6">
        <v>4.1</v>
      </c>
      <c r="N298" s="14">
        <v>4.2</v>
      </c>
      <c r="O298" s="5">
        <v>793500</v>
      </c>
      <c r="P298" s="12">
        <v>461.5</v>
      </c>
      <c r="Q298" s="12">
        <v>280</v>
      </c>
      <c r="R298" s="9">
        <v>697</v>
      </c>
      <c r="S298" s="9">
        <v>161</v>
      </c>
      <c r="T298" s="9">
        <v>535.5</v>
      </c>
    </row>
    <row r="299" spans="1:20" ht="12.75">
      <c r="A299" s="2">
        <v>39547</v>
      </c>
      <c r="B299" s="6">
        <v>12576.4</v>
      </c>
      <c r="C299" s="3">
        <v>2.25</v>
      </c>
      <c r="D299" s="3">
        <v>4.03</v>
      </c>
      <c r="E299" s="6">
        <v>5990.2</v>
      </c>
      <c r="F299" s="15">
        <v>1.968</v>
      </c>
      <c r="G299" s="15">
        <v>1.253</v>
      </c>
      <c r="H299" s="11">
        <v>926.6</v>
      </c>
      <c r="I299" s="18">
        <v>106.7</v>
      </c>
      <c r="J299">
        <v>5.25</v>
      </c>
      <c r="K299" s="3">
        <v>2.5</v>
      </c>
      <c r="L299" s="3">
        <v>7.25</v>
      </c>
      <c r="M299" s="6">
        <v>4.1</v>
      </c>
      <c r="N299" s="16">
        <v>1.1</v>
      </c>
      <c r="O299" s="5">
        <v>793500</v>
      </c>
      <c r="P299" s="12">
        <v>457</v>
      </c>
      <c r="Q299" s="12">
        <v>277.75</v>
      </c>
      <c r="R299" s="12">
        <v>692</v>
      </c>
      <c r="S299" s="12">
        <v>158.75</v>
      </c>
      <c r="T299" s="9">
        <v>537</v>
      </c>
    </row>
    <row r="300" spans="1:20" ht="12.75">
      <c r="A300" s="2">
        <v>39548</v>
      </c>
      <c r="B300" s="6">
        <v>12527.26</v>
      </c>
      <c r="C300" s="3">
        <v>2.25</v>
      </c>
      <c r="D300" s="3">
        <v>4.03</v>
      </c>
      <c r="E300" s="6">
        <v>5983.9</v>
      </c>
      <c r="F300" s="10">
        <v>1.974</v>
      </c>
      <c r="G300" s="15">
        <v>1.249</v>
      </c>
      <c r="H300" s="18">
        <v>917</v>
      </c>
      <c r="I300" s="11">
        <v>108.69</v>
      </c>
      <c r="J300">
        <v>5.25</v>
      </c>
      <c r="K300" s="3">
        <v>2.5</v>
      </c>
      <c r="L300" s="17">
        <v>7.25</v>
      </c>
      <c r="M300" s="6">
        <v>4.1</v>
      </c>
      <c r="N300" s="14">
        <v>1.1</v>
      </c>
      <c r="O300" s="5">
        <v>793500</v>
      </c>
      <c r="P300" s="12">
        <v>454.25</v>
      </c>
      <c r="Q300" s="12">
        <v>273.25</v>
      </c>
      <c r="R300" s="12">
        <v>683</v>
      </c>
      <c r="S300" s="9">
        <v>159.5</v>
      </c>
      <c r="T300" s="9">
        <v>545.5</v>
      </c>
    </row>
    <row r="301" spans="1:20" ht="12.75">
      <c r="A301" s="2">
        <v>39549</v>
      </c>
      <c r="B301" s="8">
        <v>12581.9</v>
      </c>
      <c r="C301" s="3">
        <v>2.25</v>
      </c>
      <c r="D301" s="3">
        <v>4.03</v>
      </c>
      <c r="E301" s="6">
        <v>5965.1</v>
      </c>
      <c r="F301" s="15">
        <v>1.973</v>
      </c>
      <c r="G301" s="10">
        <v>1.253</v>
      </c>
      <c r="H301" s="11">
        <v>928</v>
      </c>
      <c r="I301" s="18">
        <v>107.5</v>
      </c>
      <c r="J301" s="17">
        <v>5</v>
      </c>
      <c r="K301" s="3">
        <v>2.5</v>
      </c>
      <c r="L301" s="3">
        <v>7</v>
      </c>
      <c r="M301" s="6">
        <v>4.1</v>
      </c>
      <c r="N301" s="14">
        <v>1.1</v>
      </c>
      <c r="O301" s="5">
        <v>793500</v>
      </c>
      <c r="P301" s="9">
        <v>446.25</v>
      </c>
      <c r="Q301" s="9">
        <v>277.75</v>
      </c>
      <c r="R301" s="12">
        <v>673</v>
      </c>
      <c r="S301" s="12">
        <v>158</v>
      </c>
      <c r="T301" s="9">
        <v>550</v>
      </c>
    </row>
    <row r="302" spans="1:20" ht="12.75">
      <c r="A302" s="2">
        <v>39550</v>
      </c>
      <c r="B302" s="6">
        <v>12325.4</v>
      </c>
      <c r="C302" s="3">
        <v>2.25</v>
      </c>
      <c r="D302" s="3">
        <v>4.03</v>
      </c>
      <c r="E302" s="8">
        <v>5895.5</v>
      </c>
      <c r="F302" s="15">
        <v>1.97</v>
      </c>
      <c r="G302" s="15">
        <v>1.246</v>
      </c>
      <c r="H302" s="11">
        <v>927.75</v>
      </c>
      <c r="I302" s="11">
        <v>107.86</v>
      </c>
      <c r="J302" s="3">
        <v>5</v>
      </c>
      <c r="K302" s="3">
        <v>2.5</v>
      </c>
      <c r="L302" s="3">
        <v>7</v>
      </c>
      <c r="M302" s="6">
        <v>4.1</v>
      </c>
      <c r="N302" s="14">
        <v>1.1</v>
      </c>
      <c r="O302" s="5">
        <v>793500</v>
      </c>
      <c r="P302" s="12">
        <v>433</v>
      </c>
      <c r="Q302" s="12">
        <v>277.75</v>
      </c>
      <c r="R302" s="12">
        <v>663</v>
      </c>
      <c r="S302" s="12">
        <v>152.25</v>
      </c>
      <c r="T302" s="12">
        <v>547</v>
      </c>
    </row>
    <row r="303" spans="1:20" ht="12.75">
      <c r="A303" s="2">
        <v>39552</v>
      </c>
      <c r="B303" s="6">
        <v>12302.1</v>
      </c>
      <c r="C303" s="3">
        <v>2.25</v>
      </c>
      <c r="D303" s="3">
        <v>4.03</v>
      </c>
      <c r="E303" s="6">
        <v>5831.6</v>
      </c>
      <c r="F303" s="10">
        <v>1.982</v>
      </c>
      <c r="G303" s="10">
        <v>1.252</v>
      </c>
      <c r="H303" s="18">
        <v>926.5</v>
      </c>
      <c r="I303" s="11">
        <v>109.35</v>
      </c>
      <c r="J303" s="3">
        <v>5</v>
      </c>
      <c r="K303" s="3">
        <v>2.5</v>
      </c>
      <c r="L303" s="3">
        <v>7</v>
      </c>
      <c r="M303" s="6">
        <v>4.1</v>
      </c>
      <c r="N303" s="14">
        <v>1.1</v>
      </c>
      <c r="O303" s="5">
        <v>793500</v>
      </c>
      <c r="P303" s="12">
        <v>421</v>
      </c>
      <c r="Q303" s="12">
        <v>277.25</v>
      </c>
      <c r="R303" s="12">
        <v>646</v>
      </c>
      <c r="S303" s="12">
        <v>149.75</v>
      </c>
      <c r="T303" s="9">
        <v>549</v>
      </c>
    </row>
    <row r="304" spans="1:20" ht="12.75">
      <c r="A304" s="2">
        <v>39553</v>
      </c>
      <c r="B304" s="8">
        <v>12315.08</v>
      </c>
      <c r="C304" s="3">
        <v>2.25</v>
      </c>
      <c r="D304" s="120">
        <v>4.03</v>
      </c>
      <c r="E304" s="8">
        <v>5906.9</v>
      </c>
      <c r="F304" s="15">
        <v>1.963</v>
      </c>
      <c r="G304" s="15">
        <v>1.242</v>
      </c>
      <c r="H304" s="11">
        <v>929.75</v>
      </c>
      <c r="I304" s="11">
        <v>111.6</v>
      </c>
      <c r="J304" s="3">
        <v>5</v>
      </c>
      <c r="K304" s="3">
        <v>2.5</v>
      </c>
      <c r="L304" s="3">
        <v>7</v>
      </c>
      <c r="M304" s="16">
        <v>3.8</v>
      </c>
      <c r="N304" s="14">
        <v>1.1</v>
      </c>
      <c r="O304" s="5">
        <v>793500</v>
      </c>
      <c r="P304" s="9">
        <v>427</v>
      </c>
      <c r="Q304" s="9">
        <v>283.75</v>
      </c>
      <c r="R304" s="9">
        <v>656</v>
      </c>
      <c r="S304" s="9">
        <v>151.5</v>
      </c>
      <c r="T304" s="9">
        <v>552.5</v>
      </c>
    </row>
    <row r="305" spans="1:20" ht="12.75">
      <c r="A305" s="2">
        <v>39554</v>
      </c>
      <c r="B305" s="8">
        <v>12620.49</v>
      </c>
      <c r="C305" s="3">
        <v>2.25</v>
      </c>
      <c r="D305" s="17">
        <v>3.98</v>
      </c>
      <c r="E305" s="8">
        <v>5980.4</v>
      </c>
      <c r="F305" s="10">
        <v>1.988</v>
      </c>
      <c r="G305" s="10">
        <v>1.249</v>
      </c>
      <c r="H305" s="11">
        <v>946</v>
      </c>
      <c r="I305" s="11">
        <v>112.54</v>
      </c>
      <c r="J305" s="3">
        <v>5</v>
      </c>
      <c r="K305" s="3">
        <v>2.5</v>
      </c>
      <c r="L305" s="3">
        <v>7</v>
      </c>
      <c r="M305" s="6">
        <v>3.8</v>
      </c>
      <c r="N305" s="14">
        <v>1.1</v>
      </c>
      <c r="O305" s="13">
        <v>794300</v>
      </c>
      <c r="P305" s="12">
        <v>442.75</v>
      </c>
      <c r="Q305" s="9">
        <v>286.5</v>
      </c>
      <c r="R305" s="9">
        <v>674.5</v>
      </c>
      <c r="S305" s="9">
        <v>151.75</v>
      </c>
      <c r="T305" s="9">
        <v>562</v>
      </c>
    </row>
    <row r="306" spans="1:20" ht="12.75">
      <c r="A306" s="2">
        <v>39555</v>
      </c>
      <c r="B306" s="6">
        <v>12619.27</v>
      </c>
      <c r="C306" s="3">
        <v>2.25</v>
      </c>
      <c r="D306" s="3">
        <v>3.98</v>
      </c>
      <c r="E306" s="6">
        <v>6046.2</v>
      </c>
      <c r="F306" s="15">
        <v>1.974</v>
      </c>
      <c r="G306" s="15">
        <v>1.236</v>
      </c>
      <c r="H306" s="18">
        <v>945</v>
      </c>
      <c r="I306" s="18">
        <v>110.75</v>
      </c>
      <c r="J306" s="3">
        <v>5</v>
      </c>
      <c r="K306" s="3">
        <v>2.5</v>
      </c>
      <c r="L306" s="3">
        <v>7</v>
      </c>
      <c r="M306" s="6">
        <v>3.8</v>
      </c>
      <c r="N306" s="14">
        <v>1.1</v>
      </c>
      <c r="O306" s="5">
        <v>794300</v>
      </c>
      <c r="P306" s="12">
        <v>441.75</v>
      </c>
      <c r="Q306" s="9">
        <v>295</v>
      </c>
      <c r="R306" s="9">
        <v>682.5</v>
      </c>
      <c r="S306" s="9">
        <v>154.75</v>
      </c>
      <c r="T306" s="9">
        <v>564</v>
      </c>
    </row>
    <row r="307" spans="1:20" ht="12.75">
      <c r="A307" s="2">
        <v>39557</v>
      </c>
      <c r="B307" s="8">
        <v>12849.36</v>
      </c>
      <c r="C307" s="3">
        <v>2.25</v>
      </c>
      <c r="D307" s="3">
        <v>3.98</v>
      </c>
      <c r="E307" s="8">
        <v>6056.5</v>
      </c>
      <c r="F307" s="10">
        <v>1.994</v>
      </c>
      <c r="G307" s="10">
        <v>1.266</v>
      </c>
      <c r="H307" s="18">
        <v>908.75</v>
      </c>
      <c r="I307" s="11">
        <v>112.96</v>
      </c>
      <c r="J307" s="3">
        <v>5</v>
      </c>
      <c r="K307" s="3">
        <v>2.5</v>
      </c>
      <c r="L307" s="3">
        <v>7</v>
      </c>
      <c r="M307" s="6">
        <v>3.8</v>
      </c>
      <c r="N307" s="14">
        <v>1.1</v>
      </c>
      <c r="O307" s="5">
        <v>794300</v>
      </c>
      <c r="P307" s="9">
        <v>453.25</v>
      </c>
      <c r="Q307" s="12">
        <v>293.25</v>
      </c>
      <c r="R307" s="9">
        <v>702</v>
      </c>
      <c r="S307" s="9">
        <v>156</v>
      </c>
      <c r="T307" s="9">
        <v>568</v>
      </c>
    </row>
    <row r="308" spans="1:20" ht="12.75">
      <c r="A308" s="2">
        <v>39560</v>
      </c>
      <c r="B308" s="6">
        <v>12825</v>
      </c>
      <c r="C308" s="3">
        <v>2.25</v>
      </c>
      <c r="D308" s="3">
        <v>3.98</v>
      </c>
      <c r="E308" s="6">
        <v>6053</v>
      </c>
      <c r="F308" s="15">
        <v>1.982</v>
      </c>
      <c r="G308" s="15">
        <v>1.248</v>
      </c>
      <c r="H308" s="11">
        <v>918.5</v>
      </c>
      <c r="I308" s="11">
        <v>113.2</v>
      </c>
      <c r="J308" s="3">
        <v>5</v>
      </c>
      <c r="K308" s="3">
        <v>2.5</v>
      </c>
      <c r="L308" s="3">
        <v>7</v>
      </c>
      <c r="M308" s="6">
        <v>3.8</v>
      </c>
      <c r="N308" s="14">
        <v>1.1</v>
      </c>
      <c r="O308" s="5">
        <v>794300</v>
      </c>
      <c r="P308" s="12">
        <v>442.5</v>
      </c>
      <c r="Q308" s="12">
        <v>292.75</v>
      </c>
      <c r="R308" s="12">
        <v>693</v>
      </c>
      <c r="S308" s="12">
        <v>154</v>
      </c>
      <c r="T308" s="9">
        <v>573.5</v>
      </c>
    </row>
    <row r="309" spans="1:20" ht="12.75">
      <c r="A309" s="2">
        <v>39561</v>
      </c>
      <c r="B309" s="6">
        <v>12720.3</v>
      </c>
      <c r="C309" s="3">
        <v>2.25</v>
      </c>
      <c r="D309" s="3">
        <v>3.98</v>
      </c>
      <c r="E309" s="6">
        <v>6034.7</v>
      </c>
      <c r="F309" s="10">
        <v>1.995</v>
      </c>
      <c r="G309" s="10">
        <v>1.248</v>
      </c>
      <c r="H309" s="18">
        <v>918</v>
      </c>
      <c r="I309" s="11">
        <v>116.3</v>
      </c>
      <c r="J309" s="3">
        <v>5</v>
      </c>
      <c r="K309" s="3">
        <v>2.5</v>
      </c>
      <c r="L309" s="3">
        <v>7</v>
      </c>
      <c r="M309" s="6">
        <v>3.8</v>
      </c>
      <c r="N309" s="14">
        <v>1.1</v>
      </c>
      <c r="O309" s="5">
        <v>794300</v>
      </c>
      <c r="P309" s="12">
        <v>439.75</v>
      </c>
      <c r="Q309" s="12">
        <v>290.75</v>
      </c>
      <c r="R309" s="12">
        <v>677.5</v>
      </c>
      <c r="S309" s="9">
        <v>154.75</v>
      </c>
      <c r="T309" s="9">
        <v>576</v>
      </c>
    </row>
    <row r="310" spans="1:20" ht="12.75">
      <c r="A310" s="2">
        <v>39562</v>
      </c>
      <c r="B310" s="8">
        <v>12763.22</v>
      </c>
      <c r="C310" s="3">
        <v>2.25</v>
      </c>
      <c r="D310" s="3">
        <v>3.98</v>
      </c>
      <c r="E310" s="8">
        <v>6083.6</v>
      </c>
      <c r="F310" s="15">
        <v>1.979</v>
      </c>
      <c r="G310" s="15">
        <v>1.244</v>
      </c>
      <c r="H310" s="18">
        <v>898.5</v>
      </c>
      <c r="I310" s="18">
        <v>116.02</v>
      </c>
      <c r="J310" s="3">
        <v>5</v>
      </c>
      <c r="K310" s="3">
        <v>2.5</v>
      </c>
      <c r="L310" s="3">
        <v>7</v>
      </c>
      <c r="M310" s="6">
        <v>3.8</v>
      </c>
      <c r="N310" s="14">
        <v>1.1</v>
      </c>
      <c r="O310" s="5">
        <v>794300</v>
      </c>
      <c r="P310" s="12">
        <v>430.5</v>
      </c>
      <c r="Q310" s="9">
        <v>293.5</v>
      </c>
      <c r="R310" s="9">
        <v>696.5</v>
      </c>
      <c r="S310" s="12">
        <v>154</v>
      </c>
      <c r="T310" s="9">
        <v>583.5</v>
      </c>
    </row>
    <row r="311" spans="1:20" ht="12.75">
      <c r="A311" s="2">
        <v>39563</v>
      </c>
      <c r="B311" s="8">
        <v>12849</v>
      </c>
      <c r="C311" s="3">
        <v>2.25</v>
      </c>
      <c r="D311" s="3">
        <v>3.98</v>
      </c>
      <c r="E311" s="8">
        <v>6050.7</v>
      </c>
      <c r="F311" s="15">
        <v>1.971</v>
      </c>
      <c r="G311" s="10">
        <v>1.259</v>
      </c>
      <c r="H311" s="18">
        <v>895.5</v>
      </c>
      <c r="I311" s="18">
        <v>114.05</v>
      </c>
      <c r="J311" s="3">
        <v>5</v>
      </c>
      <c r="K311" s="3">
        <v>2.5</v>
      </c>
      <c r="L311" s="3">
        <v>7</v>
      </c>
      <c r="M311" s="6">
        <v>3.8</v>
      </c>
      <c r="N311" s="14">
        <v>1.1</v>
      </c>
      <c r="O311" s="5">
        <v>794300</v>
      </c>
      <c r="P311" s="9">
        <v>436</v>
      </c>
      <c r="Q311" s="12">
        <v>291</v>
      </c>
      <c r="R311" s="12">
        <v>699.5</v>
      </c>
      <c r="S311" s="9">
        <v>157.5</v>
      </c>
      <c r="T311" s="12">
        <v>575</v>
      </c>
    </row>
    <row r="312" spans="1:20" ht="12.75">
      <c r="A312" s="2">
        <v>39564</v>
      </c>
      <c r="B312" s="8">
        <v>12891.86</v>
      </c>
      <c r="C312" s="3">
        <v>2.25</v>
      </c>
      <c r="D312" s="3">
        <v>3.98</v>
      </c>
      <c r="E312" s="8">
        <v>6091.4</v>
      </c>
      <c r="F312" s="10">
        <v>1.984</v>
      </c>
      <c r="G312" s="10">
        <v>1.269</v>
      </c>
      <c r="H312" s="18">
        <v>891.5</v>
      </c>
      <c r="I312" s="11">
        <v>117.48</v>
      </c>
      <c r="J312" s="3">
        <v>5</v>
      </c>
      <c r="K312" s="3">
        <v>2.5</v>
      </c>
      <c r="L312" s="3">
        <v>7</v>
      </c>
      <c r="M312" s="6">
        <v>3.8</v>
      </c>
      <c r="N312" s="14">
        <v>1.1</v>
      </c>
      <c r="O312" s="5">
        <v>794300</v>
      </c>
      <c r="P312" s="9">
        <v>442.25</v>
      </c>
      <c r="Q312" s="9">
        <v>298</v>
      </c>
      <c r="R312" s="9">
        <v>699.5</v>
      </c>
      <c r="S312" s="9">
        <v>159.25</v>
      </c>
      <c r="T312" s="9">
        <v>580</v>
      </c>
    </row>
    <row r="313" spans="1:20" ht="12.75">
      <c r="A313" s="2">
        <v>39567</v>
      </c>
      <c r="B313" s="6">
        <v>12871.8</v>
      </c>
      <c r="C313" s="3">
        <v>2.25</v>
      </c>
      <c r="D313" s="3">
        <v>3.98</v>
      </c>
      <c r="E313" s="6">
        <v>6090.4</v>
      </c>
      <c r="F313" s="10">
        <v>1.991</v>
      </c>
      <c r="G313" s="10">
        <v>1.273</v>
      </c>
      <c r="H313" s="18">
        <v>890.5</v>
      </c>
      <c r="I313" s="11">
        <v>116.95</v>
      </c>
      <c r="J313" s="3">
        <v>5</v>
      </c>
      <c r="K313" s="3">
        <v>2.5</v>
      </c>
      <c r="L313" s="3">
        <v>7</v>
      </c>
      <c r="M313" s="6">
        <v>3.8</v>
      </c>
      <c r="N313" s="14">
        <v>1.1</v>
      </c>
      <c r="O313" s="5">
        <v>794300</v>
      </c>
      <c r="P313" s="9">
        <v>447.25</v>
      </c>
      <c r="Q313" s="9">
        <v>289.75</v>
      </c>
      <c r="R313" s="9">
        <v>708</v>
      </c>
      <c r="S313" s="12">
        <v>157.5</v>
      </c>
      <c r="T313" s="12">
        <v>578.5</v>
      </c>
    </row>
    <row r="314" spans="1:20" ht="12.75">
      <c r="A314" s="2">
        <v>39568</v>
      </c>
      <c r="B314" s="6">
        <v>12831.94</v>
      </c>
      <c r="C314" s="3">
        <v>2.25</v>
      </c>
      <c r="D314" s="3">
        <v>3.98</v>
      </c>
      <c r="E314" s="6">
        <v>6089.4</v>
      </c>
      <c r="F314" s="15">
        <v>1.975</v>
      </c>
      <c r="G314" s="15">
        <v>1.266</v>
      </c>
      <c r="H314" s="18">
        <v>890.5</v>
      </c>
      <c r="I314" s="18">
        <v>113.45</v>
      </c>
      <c r="J314" s="3">
        <v>5</v>
      </c>
      <c r="K314" s="3">
        <v>2.5</v>
      </c>
      <c r="L314" s="3">
        <v>7</v>
      </c>
      <c r="M314" s="6">
        <v>3.8</v>
      </c>
      <c r="N314" s="14">
        <v>1.1</v>
      </c>
      <c r="O314" s="5">
        <v>794300</v>
      </c>
      <c r="P314" s="12">
        <v>438.75</v>
      </c>
      <c r="Q314" s="9">
        <v>289</v>
      </c>
      <c r="R314" s="12">
        <v>685.5</v>
      </c>
      <c r="S314" s="9">
        <v>158.5</v>
      </c>
      <c r="T314" s="9">
        <v>613</v>
      </c>
    </row>
    <row r="315" spans="1:20" ht="12.75">
      <c r="A315" s="2">
        <v>39569</v>
      </c>
      <c r="B315" s="6">
        <v>12820.1</v>
      </c>
      <c r="C315" s="17">
        <v>2</v>
      </c>
      <c r="D315" s="3">
        <v>3.98</v>
      </c>
      <c r="E315" s="6">
        <v>6087.3</v>
      </c>
      <c r="F315" s="10">
        <v>1.984</v>
      </c>
      <c r="G315" s="10">
        <v>1.274</v>
      </c>
      <c r="H315" s="18">
        <v>871</v>
      </c>
      <c r="I315" s="18">
        <v>111.86</v>
      </c>
      <c r="J315" s="3">
        <v>5</v>
      </c>
      <c r="K315" s="3">
        <v>2.5</v>
      </c>
      <c r="L315" s="3">
        <v>7</v>
      </c>
      <c r="M315" s="6">
        <v>3.8</v>
      </c>
      <c r="N315" s="14">
        <v>1.1</v>
      </c>
      <c r="O315" s="5">
        <v>794300</v>
      </c>
      <c r="P315" s="12">
        <v>432.5</v>
      </c>
      <c r="Q315" s="12">
        <v>286.5</v>
      </c>
      <c r="R315" s="9">
        <v>690</v>
      </c>
      <c r="S315" s="9">
        <v>160.25</v>
      </c>
      <c r="T315" s="12">
        <v>611</v>
      </c>
    </row>
    <row r="316" spans="1:20" ht="12.75">
      <c r="A316" s="2">
        <v>39570</v>
      </c>
      <c r="B316" s="8">
        <v>13010</v>
      </c>
      <c r="C316" s="3">
        <v>2</v>
      </c>
      <c r="D316" s="3">
        <v>3.98</v>
      </c>
      <c r="E316" s="6">
        <v>6087.3</v>
      </c>
      <c r="F316" s="15">
        <v>1.974</v>
      </c>
      <c r="G316" s="10">
        <v>1.277</v>
      </c>
      <c r="H316" s="18">
        <v>853</v>
      </c>
      <c r="I316" s="18">
        <v>108.88</v>
      </c>
      <c r="J316" s="3">
        <v>5</v>
      </c>
      <c r="K316" s="3">
        <v>2.5</v>
      </c>
      <c r="L316" s="3">
        <v>7</v>
      </c>
      <c r="M316" s="6">
        <v>3.8</v>
      </c>
      <c r="N316" s="14">
        <v>1.1</v>
      </c>
      <c r="O316" s="5">
        <v>794300</v>
      </c>
      <c r="P316" s="12">
        <v>430.75</v>
      </c>
      <c r="Q316" s="12">
        <v>282.25</v>
      </c>
      <c r="R316" s="9">
        <v>697</v>
      </c>
      <c r="S316" s="12">
        <v>159.25</v>
      </c>
      <c r="T316" s="12">
        <v>605</v>
      </c>
    </row>
    <row r="317" spans="1:20" ht="12.75">
      <c r="A317" s="2">
        <v>39571</v>
      </c>
      <c r="B317" s="8">
        <v>13043.8</v>
      </c>
      <c r="C317" s="3">
        <v>2</v>
      </c>
      <c r="D317" s="3">
        <v>3.98</v>
      </c>
      <c r="E317" s="8">
        <v>6215.5</v>
      </c>
      <c r="F317" s="15">
        <v>1.973</v>
      </c>
      <c r="G317" s="10">
        <v>1.28</v>
      </c>
      <c r="H317" s="11">
        <v>853.5</v>
      </c>
      <c r="I317" s="11">
        <v>113.92</v>
      </c>
      <c r="J317" s="3">
        <v>5</v>
      </c>
      <c r="K317" s="3">
        <v>2.5</v>
      </c>
      <c r="L317" s="3">
        <v>7</v>
      </c>
      <c r="M317" s="6">
        <v>3.8</v>
      </c>
      <c r="N317" s="14">
        <v>1.1</v>
      </c>
      <c r="O317" s="5">
        <v>794300</v>
      </c>
      <c r="P317" s="9">
        <v>452.5</v>
      </c>
      <c r="Q317" s="9">
        <v>287</v>
      </c>
      <c r="R317" s="9">
        <v>726</v>
      </c>
      <c r="S317" s="9">
        <v>163.5</v>
      </c>
      <c r="T317" s="9">
        <v>611.5</v>
      </c>
    </row>
    <row r="318" spans="1:20" ht="12.75">
      <c r="A318" s="2">
        <v>39575</v>
      </c>
      <c r="B318" s="6">
        <v>13024</v>
      </c>
      <c r="C318" s="3">
        <v>2</v>
      </c>
      <c r="D318" s="3">
        <v>3.98</v>
      </c>
      <c r="E318" s="6">
        <v>6215.2</v>
      </c>
      <c r="F318" s="15">
        <v>1.973</v>
      </c>
      <c r="G318" s="15">
        <v>1.27</v>
      </c>
      <c r="H318" s="18">
        <v>853.5</v>
      </c>
      <c r="I318" s="18">
        <v>120.26</v>
      </c>
      <c r="J318" s="3">
        <v>5</v>
      </c>
      <c r="K318" s="3">
        <v>2.5</v>
      </c>
      <c r="L318" s="3">
        <v>7</v>
      </c>
      <c r="M318" s="6">
        <v>3.8</v>
      </c>
      <c r="N318" s="16">
        <v>-0.9</v>
      </c>
      <c r="O318" s="5">
        <v>794300</v>
      </c>
      <c r="P318" s="12">
        <v>439</v>
      </c>
      <c r="Q318" s="12">
        <v>285.5</v>
      </c>
      <c r="R318" s="12">
        <v>713.5</v>
      </c>
      <c r="S318" s="12">
        <v>160.75</v>
      </c>
      <c r="T318" s="12">
        <v>610</v>
      </c>
    </row>
    <row r="319" spans="1:20" ht="12.75">
      <c r="A319" s="2">
        <v>39576</v>
      </c>
      <c r="B319" s="6">
        <v>12814.4</v>
      </c>
      <c r="C319" s="3">
        <v>2</v>
      </c>
      <c r="D319" s="3">
        <v>3.98</v>
      </c>
      <c r="E319" s="8">
        <v>6261</v>
      </c>
      <c r="F319" s="15">
        <v>1.953</v>
      </c>
      <c r="G319" s="10">
        <v>1.27</v>
      </c>
      <c r="H319" s="11">
        <v>868.25</v>
      </c>
      <c r="I319" s="11">
        <v>120.58</v>
      </c>
      <c r="J319" s="3">
        <v>5</v>
      </c>
      <c r="K319" s="3">
        <v>2.5</v>
      </c>
      <c r="L319" s="3">
        <v>7</v>
      </c>
      <c r="M319" s="6">
        <v>3.8</v>
      </c>
      <c r="N319" s="14">
        <v>-0.9</v>
      </c>
      <c r="O319" s="5">
        <v>794300</v>
      </c>
      <c r="P319" s="9">
        <v>449.5</v>
      </c>
      <c r="Q319" s="9">
        <v>288</v>
      </c>
      <c r="R319" s="12">
        <v>709.5</v>
      </c>
      <c r="S319" s="9">
        <v>164</v>
      </c>
      <c r="T319" s="9">
        <v>618</v>
      </c>
    </row>
    <row r="320" spans="1:20" ht="12.75">
      <c r="A320" s="2">
        <v>39577</v>
      </c>
      <c r="B320" s="6">
        <v>12866.7</v>
      </c>
      <c r="C320" s="3">
        <v>2</v>
      </c>
      <c r="D320" s="3">
        <v>3.98</v>
      </c>
      <c r="E320" s="8">
        <v>6270.8</v>
      </c>
      <c r="F320" s="10">
        <v>1.956</v>
      </c>
      <c r="G320" s="15">
        <v>1.268</v>
      </c>
      <c r="H320" s="11">
        <v>877</v>
      </c>
      <c r="I320" s="11">
        <v>121.82</v>
      </c>
      <c r="J320" s="3">
        <v>5</v>
      </c>
      <c r="K320" s="3">
        <v>2.5</v>
      </c>
      <c r="L320" s="3">
        <v>7</v>
      </c>
      <c r="M320" s="6">
        <v>3.9</v>
      </c>
      <c r="N320" s="14">
        <v>-0.9</v>
      </c>
      <c r="O320" s="5">
        <v>794300</v>
      </c>
      <c r="P320" s="12">
        <v>443.75</v>
      </c>
      <c r="Q320" s="12">
        <v>288</v>
      </c>
      <c r="R320" s="12">
        <v>709.5</v>
      </c>
      <c r="S320" s="12">
        <v>162.75</v>
      </c>
      <c r="T320" s="12">
        <v>617.5</v>
      </c>
    </row>
    <row r="321" spans="1:20" ht="12.75">
      <c r="A321" s="2">
        <v>39578</v>
      </c>
      <c r="B321" s="6">
        <v>12745.9</v>
      </c>
      <c r="C321" s="3">
        <v>2</v>
      </c>
      <c r="D321" s="3">
        <v>3.98</v>
      </c>
      <c r="E321" s="6">
        <v>6204.7</v>
      </c>
      <c r="F321" s="15">
        <v>1.948</v>
      </c>
      <c r="G321" s="15">
        <v>1.261</v>
      </c>
      <c r="H321" s="18">
        <v>876</v>
      </c>
      <c r="I321" s="11">
        <v>124.24</v>
      </c>
      <c r="J321" s="3">
        <v>5</v>
      </c>
      <c r="K321" s="3">
        <v>2.5</v>
      </c>
      <c r="L321" s="3">
        <v>7</v>
      </c>
      <c r="M321" s="6">
        <v>3.8</v>
      </c>
      <c r="N321" s="14">
        <v>-0.9</v>
      </c>
      <c r="O321" s="5">
        <v>794300</v>
      </c>
      <c r="P321" s="12">
        <v>433</v>
      </c>
      <c r="Q321" s="9">
        <v>290</v>
      </c>
      <c r="R321" s="12">
        <v>702.5</v>
      </c>
      <c r="S321" s="12">
        <v>161.75</v>
      </c>
      <c r="T321" s="12">
        <v>613</v>
      </c>
    </row>
    <row r="322" spans="1:20" ht="12.75">
      <c r="A322" s="2">
        <v>39581</v>
      </c>
      <c r="B322" s="8">
        <v>12877</v>
      </c>
      <c r="C322" s="3">
        <v>2</v>
      </c>
      <c r="D322" s="3">
        <v>3.98</v>
      </c>
      <c r="E322" s="8">
        <v>6220.6</v>
      </c>
      <c r="F322" s="10">
        <v>1.961</v>
      </c>
      <c r="G322" s="10">
        <v>1.262</v>
      </c>
      <c r="H322" s="11">
        <v>883.5</v>
      </c>
      <c r="I322" s="18">
        <v>123.69</v>
      </c>
      <c r="J322" s="3">
        <v>5</v>
      </c>
      <c r="K322" s="3">
        <v>2.5</v>
      </c>
      <c r="L322" s="3">
        <v>7</v>
      </c>
      <c r="M322" s="16">
        <v>3.8</v>
      </c>
      <c r="N322" s="14">
        <v>-0.9</v>
      </c>
      <c r="O322" s="5">
        <v>794300</v>
      </c>
      <c r="P322" s="12">
        <v>424.75</v>
      </c>
      <c r="Q322" s="12">
        <v>287.75</v>
      </c>
      <c r="R322" s="12">
        <v>702</v>
      </c>
      <c r="S322" s="9">
        <v>162</v>
      </c>
      <c r="T322" s="9">
        <v>619.5</v>
      </c>
    </row>
    <row r="323" spans="1:20" ht="12.75">
      <c r="A323" s="2">
        <v>39582</v>
      </c>
      <c r="B323" s="6">
        <v>12832</v>
      </c>
      <c r="C323" s="3">
        <v>2</v>
      </c>
      <c r="D323" s="3">
        <v>3.98</v>
      </c>
      <c r="E323" s="6">
        <v>6211.9</v>
      </c>
      <c r="F323" s="10">
        <v>1.947</v>
      </c>
      <c r="G323" s="15">
        <v>1.257</v>
      </c>
      <c r="H323" s="11">
        <v>865</v>
      </c>
      <c r="I323" s="11">
        <v>124.05</v>
      </c>
      <c r="J323" s="3">
        <v>5</v>
      </c>
      <c r="K323" s="3">
        <v>2.5</v>
      </c>
      <c r="L323" s="3">
        <v>7</v>
      </c>
      <c r="M323" s="6">
        <v>4.2</v>
      </c>
      <c r="N323" s="14">
        <v>-0.9</v>
      </c>
      <c r="O323" s="5">
        <v>794300</v>
      </c>
      <c r="P323" s="12">
        <v>418</v>
      </c>
      <c r="Q323" s="9">
        <v>289.75</v>
      </c>
      <c r="R323" s="9">
        <v>704.5</v>
      </c>
      <c r="S323" s="9">
        <v>163</v>
      </c>
      <c r="T323" s="12">
        <v>618.5</v>
      </c>
    </row>
    <row r="324" spans="1:20" ht="12.75">
      <c r="A324" s="2">
        <v>39583</v>
      </c>
      <c r="B324" s="8">
        <v>12898</v>
      </c>
      <c r="C324" s="3">
        <v>2</v>
      </c>
      <c r="D324" s="3">
        <v>3.98</v>
      </c>
      <c r="E324" s="8">
        <v>6216</v>
      </c>
      <c r="F324" s="15">
        <v>1.945</v>
      </c>
      <c r="G324" s="15">
        <v>1.257</v>
      </c>
      <c r="H324" s="11">
        <v>866.5</v>
      </c>
      <c r="I324" s="18">
        <v>122.65</v>
      </c>
      <c r="J324" s="3">
        <v>5</v>
      </c>
      <c r="K324" s="3">
        <v>2.5</v>
      </c>
      <c r="L324" s="3">
        <v>7</v>
      </c>
      <c r="M324" s="6">
        <v>4.2</v>
      </c>
      <c r="N324" s="14">
        <v>-0.9</v>
      </c>
      <c r="O324" s="13">
        <v>806300</v>
      </c>
      <c r="P324" s="12">
        <v>410.5</v>
      </c>
      <c r="Q324" s="12">
        <v>286.25</v>
      </c>
      <c r="R324" s="12">
        <v>696.5</v>
      </c>
      <c r="S324" s="12">
        <v>163</v>
      </c>
      <c r="T324" s="9">
        <v>621.5</v>
      </c>
    </row>
    <row r="325" spans="1:20" ht="12.75">
      <c r="A325" s="2">
        <v>39584</v>
      </c>
      <c r="B325" s="6">
        <v>12992.6</v>
      </c>
      <c r="C325" s="3">
        <v>2</v>
      </c>
      <c r="D325" s="3">
        <v>3.98</v>
      </c>
      <c r="E325" s="8">
        <v>6251.8</v>
      </c>
      <c r="F325" s="10">
        <v>1.946</v>
      </c>
      <c r="G325" s="10">
        <v>1.258</v>
      </c>
      <c r="H325" s="11">
        <v>881.25</v>
      </c>
      <c r="I325" s="18">
        <v>122.65</v>
      </c>
      <c r="J325" s="3">
        <v>5</v>
      </c>
      <c r="K325" s="3">
        <v>2.5</v>
      </c>
      <c r="L325" s="3">
        <v>7</v>
      </c>
      <c r="M325" s="6">
        <v>4.2</v>
      </c>
      <c r="N325" s="14">
        <v>-0.9</v>
      </c>
      <c r="O325" s="5">
        <v>806300</v>
      </c>
      <c r="P325" s="12">
        <v>409</v>
      </c>
      <c r="Q325" s="9">
        <v>288.25</v>
      </c>
      <c r="R325" s="12">
        <v>693.5</v>
      </c>
      <c r="S325" s="9">
        <v>163.25</v>
      </c>
      <c r="T325" s="9">
        <v>625.5</v>
      </c>
    </row>
    <row r="326" spans="1:20" ht="12.75">
      <c r="A326" s="2">
        <v>39585</v>
      </c>
      <c r="B326" s="6">
        <v>12985.3</v>
      </c>
      <c r="C326" s="3">
        <v>2</v>
      </c>
      <c r="D326" s="17">
        <v>3.94</v>
      </c>
      <c r="E326" s="8">
        <v>6304.3</v>
      </c>
      <c r="F326" s="10">
        <v>1.956</v>
      </c>
      <c r="G326" s="15">
        <v>1.256</v>
      </c>
      <c r="H326" s="18">
        <v>881.25</v>
      </c>
      <c r="I326" s="11">
        <v>124.39</v>
      </c>
      <c r="J326" s="3">
        <v>5</v>
      </c>
      <c r="K326" s="17">
        <v>3</v>
      </c>
      <c r="L326" s="3">
        <v>7</v>
      </c>
      <c r="M326" s="6">
        <v>4.2</v>
      </c>
      <c r="N326" s="14">
        <v>-0.9</v>
      </c>
      <c r="O326" s="5">
        <v>806300</v>
      </c>
      <c r="P326" s="9">
        <v>411</v>
      </c>
      <c r="Q326" s="9">
        <v>291</v>
      </c>
      <c r="R326" s="9">
        <v>697.5</v>
      </c>
      <c r="S326" s="9">
        <v>166.5</v>
      </c>
      <c r="T326" s="9">
        <v>635</v>
      </c>
    </row>
    <row r="327" spans="1:20" ht="12.75">
      <c r="A327" s="2">
        <v>39588</v>
      </c>
      <c r="B327" s="6">
        <v>13028.2</v>
      </c>
      <c r="C327" s="3">
        <v>2</v>
      </c>
      <c r="D327" s="3">
        <v>3.94</v>
      </c>
      <c r="E327" s="8">
        <v>6376.5</v>
      </c>
      <c r="F327" s="10">
        <v>1.948</v>
      </c>
      <c r="G327" s="15">
        <v>1.255</v>
      </c>
      <c r="H327" s="18">
        <v>881.25</v>
      </c>
      <c r="I327" s="11">
        <v>124.55</v>
      </c>
      <c r="J327" s="3">
        <v>5</v>
      </c>
      <c r="K327" s="3">
        <v>3</v>
      </c>
      <c r="L327" s="3">
        <v>7</v>
      </c>
      <c r="M327" s="6">
        <v>4.2</v>
      </c>
      <c r="N327" s="14">
        <v>-0.9</v>
      </c>
      <c r="O327" s="5">
        <v>806300</v>
      </c>
      <c r="P327" s="12">
        <v>408.25</v>
      </c>
      <c r="Q327" s="12">
        <v>289.25</v>
      </c>
      <c r="R327" s="21">
        <v>703</v>
      </c>
      <c r="S327" s="9">
        <v>168</v>
      </c>
      <c r="T327" s="9">
        <v>643</v>
      </c>
    </row>
    <row r="328" spans="1:20" ht="12.75">
      <c r="A328" s="2">
        <v>39589</v>
      </c>
      <c r="B328" s="6">
        <v>12829</v>
      </c>
      <c r="C328" s="3">
        <v>2</v>
      </c>
      <c r="D328" s="3">
        <v>3.94</v>
      </c>
      <c r="E328" s="6">
        <v>6191.6</v>
      </c>
      <c r="F328" s="15">
        <v>1.971</v>
      </c>
      <c r="G328" s="153">
        <v>1.257</v>
      </c>
      <c r="H328" s="11">
        <v>914.5</v>
      </c>
      <c r="I328" s="11">
        <v>127.51</v>
      </c>
      <c r="J328" s="3">
        <v>5</v>
      </c>
      <c r="K328" s="3">
        <v>3</v>
      </c>
      <c r="L328" s="3">
        <v>7</v>
      </c>
      <c r="M328" s="6">
        <v>4.2</v>
      </c>
      <c r="N328" s="14">
        <v>-0.9</v>
      </c>
      <c r="O328" s="5">
        <v>806300</v>
      </c>
      <c r="P328" s="12">
        <v>402.75</v>
      </c>
      <c r="Q328" s="12">
        <v>285</v>
      </c>
      <c r="R328">
        <v>676.5</v>
      </c>
      <c r="S328" s="12">
        <v>161.75</v>
      </c>
      <c r="T328" s="12">
        <v>628</v>
      </c>
    </row>
    <row r="329" spans="1:20" ht="12.75">
      <c r="A329" s="2">
        <v>39590</v>
      </c>
      <c r="B329" s="6">
        <v>12601</v>
      </c>
      <c r="C329" s="3">
        <v>2</v>
      </c>
      <c r="D329" s="3">
        <v>3.94</v>
      </c>
      <c r="E329" s="8">
        <v>6198.1</v>
      </c>
      <c r="F329" s="15">
        <v>1.966</v>
      </c>
      <c r="G329" s="15">
        <v>1.247</v>
      </c>
      <c r="H329" s="11">
        <v>923</v>
      </c>
      <c r="I329" s="11">
        <v>130.85</v>
      </c>
      <c r="J329" s="3">
        <v>5</v>
      </c>
      <c r="K329" s="3">
        <v>3</v>
      </c>
      <c r="L329" s="3">
        <v>7</v>
      </c>
      <c r="M329" s="6">
        <v>4.2</v>
      </c>
      <c r="N329" s="14">
        <v>-0.9</v>
      </c>
      <c r="O329" s="5">
        <v>806300</v>
      </c>
      <c r="P329">
        <v>394.75</v>
      </c>
      <c r="Q329" s="12">
        <v>278.25</v>
      </c>
      <c r="R329">
        <v>660</v>
      </c>
      <c r="S329" s="12">
        <v>158.5</v>
      </c>
      <c r="T329" s="9">
        <v>649.75</v>
      </c>
    </row>
    <row r="330" spans="1:20" ht="12.75">
      <c r="A330" s="2">
        <v>39591</v>
      </c>
      <c r="B330" s="8">
        <v>12625.6</v>
      </c>
      <c r="C330" s="3">
        <v>2</v>
      </c>
      <c r="D330" s="3">
        <v>3.94</v>
      </c>
      <c r="E330" s="6">
        <v>6181.6</v>
      </c>
      <c r="F330" s="10">
        <v>1.98</v>
      </c>
      <c r="G330" s="10">
        <v>1.26</v>
      </c>
      <c r="H330" s="18">
        <v>922.75</v>
      </c>
      <c r="I330" s="11">
        <v>131.43</v>
      </c>
      <c r="J330" s="3">
        <v>5</v>
      </c>
      <c r="K330" s="3">
        <v>3</v>
      </c>
      <c r="L330" s="3">
        <v>7</v>
      </c>
      <c r="M330" s="6">
        <v>4.2</v>
      </c>
      <c r="N330" s="14">
        <v>-0.9</v>
      </c>
      <c r="O330" s="5">
        <v>806300</v>
      </c>
      <c r="P330">
        <v>391.25</v>
      </c>
      <c r="Q330" s="9">
        <v>279</v>
      </c>
      <c r="R330">
        <v>655.5</v>
      </c>
      <c r="S330" s="9">
        <v>163.5</v>
      </c>
      <c r="T330" s="12">
        <v>646.5</v>
      </c>
    </row>
    <row r="331" spans="1:20" ht="12.75">
      <c r="A331" s="2">
        <v>39592</v>
      </c>
      <c r="B331" s="6">
        <v>12479</v>
      </c>
      <c r="C331" s="3">
        <v>2</v>
      </c>
      <c r="D331" s="3">
        <v>3.94</v>
      </c>
      <c r="E331" s="6">
        <v>6087.3</v>
      </c>
      <c r="F331" s="10">
        <v>1.981</v>
      </c>
      <c r="G331" s="15">
        <v>1.255</v>
      </c>
      <c r="H331" s="11">
        <v>927.5</v>
      </c>
      <c r="I331" s="18">
        <v>131.24</v>
      </c>
      <c r="J331" s="3">
        <v>5</v>
      </c>
      <c r="K331" s="3">
        <v>3</v>
      </c>
      <c r="L331" s="3">
        <v>7</v>
      </c>
      <c r="M331" s="6">
        <v>4.2</v>
      </c>
      <c r="N331" s="14">
        <v>-0.9</v>
      </c>
      <c r="O331" s="5">
        <v>806300</v>
      </c>
      <c r="P331" s="9">
        <v>395</v>
      </c>
      <c r="Q331" s="9">
        <v>279.75</v>
      </c>
      <c r="R331">
        <v>648.5</v>
      </c>
      <c r="S331" s="12">
        <v>163.25</v>
      </c>
      <c r="T331" s="12">
        <v>630</v>
      </c>
    </row>
    <row r="332" spans="1:20" ht="12.75">
      <c r="A332" s="2">
        <v>39596</v>
      </c>
      <c r="B332" s="8">
        <v>12548</v>
      </c>
      <c r="C332" s="3">
        <v>2</v>
      </c>
      <c r="D332" s="3">
        <v>3.94</v>
      </c>
      <c r="E332" s="6">
        <v>6058.5</v>
      </c>
      <c r="F332" s="15">
        <v>1.976</v>
      </c>
      <c r="G332" s="10">
        <v>1.256</v>
      </c>
      <c r="H332" s="18">
        <v>927.5</v>
      </c>
      <c r="I332" s="18">
        <v>129.95</v>
      </c>
      <c r="J332" s="3">
        <v>5</v>
      </c>
      <c r="K332" s="3">
        <v>3</v>
      </c>
      <c r="L332" s="3">
        <v>7</v>
      </c>
      <c r="M332" s="6">
        <v>4.2</v>
      </c>
      <c r="N332" s="14">
        <v>-0.9</v>
      </c>
      <c r="O332" s="5">
        <v>806300</v>
      </c>
      <c r="P332">
        <v>393.5</v>
      </c>
      <c r="Q332" s="9">
        <v>285.25</v>
      </c>
      <c r="R332">
        <v>644</v>
      </c>
      <c r="S332" s="12">
        <v>160.5</v>
      </c>
      <c r="T332" s="12">
        <v>616.5</v>
      </c>
    </row>
    <row r="333" spans="1:20" ht="12.75">
      <c r="A333" s="2">
        <v>39597</v>
      </c>
      <c r="B333" s="8">
        <v>12594.4</v>
      </c>
      <c r="C333" s="3">
        <v>2</v>
      </c>
      <c r="D333" s="3">
        <v>3.94</v>
      </c>
      <c r="E333" s="8">
        <v>6069.6</v>
      </c>
      <c r="F333" s="10">
        <v>1.981</v>
      </c>
      <c r="G333" s="9">
        <v>1.267</v>
      </c>
      <c r="H333" s="18">
        <v>902.5</v>
      </c>
      <c r="I333" s="11">
        <v>130.28</v>
      </c>
      <c r="J333" s="3">
        <v>5</v>
      </c>
      <c r="K333" s="3">
        <v>3</v>
      </c>
      <c r="L333" s="3">
        <v>7</v>
      </c>
      <c r="M333" s="6">
        <v>4.2</v>
      </c>
      <c r="N333" s="14">
        <v>-0.9</v>
      </c>
      <c r="O333" s="5">
        <v>806300</v>
      </c>
      <c r="P333">
        <v>384.75</v>
      </c>
      <c r="Q333" s="9">
        <v>291</v>
      </c>
      <c r="R333" s="9">
        <v>657.5</v>
      </c>
      <c r="S333" s="9">
        <v>163</v>
      </c>
      <c r="T333" s="12">
        <v>605.5</v>
      </c>
    </row>
    <row r="334" spans="1:20" ht="12.75">
      <c r="A334" s="2">
        <v>39598</v>
      </c>
      <c r="B334" s="8">
        <v>12646.2</v>
      </c>
      <c r="C334" s="3">
        <v>2</v>
      </c>
      <c r="D334" s="3">
        <v>3.94</v>
      </c>
      <c r="E334" s="6">
        <v>6068.1</v>
      </c>
      <c r="F334" s="15">
        <v>1.974</v>
      </c>
      <c r="G334" s="9">
        <v>1.273</v>
      </c>
      <c r="H334" s="18">
        <v>883</v>
      </c>
      <c r="I334" s="18">
        <v>127.13</v>
      </c>
      <c r="J334" s="3">
        <v>5</v>
      </c>
      <c r="K334" s="3">
        <v>3</v>
      </c>
      <c r="L334" s="3">
        <v>7</v>
      </c>
      <c r="M334" s="6">
        <v>4.2</v>
      </c>
      <c r="N334" s="14">
        <v>-0.9</v>
      </c>
      <c r="O334" s="5">
        <v>806300</v>
      </c>
      <c r="P334">
        <v>377</v>
      </c>
      <c r="Q334" s="12">
        <v>289.25</v>
      </c>
      <c r="R334" s="9">
        <v>663</v>
      </c>
      <c r="S334" s="12">
        <v>161</v>
      </c>
      <c r="T334" s="9">
        <v>612.5</v>
      </c>
    </row>
    <row r="335" spans="1:20" ht="12.75">
      <c r="A335" s="2">
        <v>39599</v>
      </c>
      <c r="B335" s="6">
        <v>12638.3</v>
      </c>
      <c r="C335" s="3">
        <v>2</v>
      </c>
      <c r="D335" s="3">
        <v>3.94</v>
      </c>
      <c r="E335" s="6">
        <v>6053.5</v>
      </c>
      <c r="F335" s="10">
        <v>1.979</v>
      </c>
      <c r="G335">
        <v>1.272</v>
      </c>
      <c r="H335" s="11">
        <v>885.75</v>
      </c>
      <c r="I335" s="11">
        <v>127.6</v>
      </c>
      <c r="J335" s="3">
        <v>5</v>
      </c>
      <c r="K335" s="3">
        <v>3</v>
      </c>
      <c r="L335" s="3">
        <v>7</v>
      </c>
      <c r="M335" s="6">
        <v>4.2</v>
      </c>
      <c r="N335" s="14">
        <v>-0.9</v>
      </c>
      <c r="O335" s="5">
        <v>806300</v>
      </c>
      <c r="P335" s="9">
        <v>384</v>
      </c>
      <c r="Q335" s="9">
        <v>292.5</v>
      </c>
      <c r="R335" s="9">
        <v>665</v>
      </c>
      <c r="S335" s="9">
        <v>162.25</v>
      </c>
      <c r="T335" s="12">
        <v>608</v>
      </c>
    </row>
    <row r="336" spans="1:20" ht="12.75">
      <c r="A336" s="2">
        <v>39602</v>
      </c>
      <c r="B336" s="6">
        <v>12504.7</v>
      </c>
      <c r="C336" s="3">
        <v>2</v>
      </c>
      <c r="D336" s="3">
        <v>3.94</v>
      </c>
      <c r="E336" s="6">
        <v>6007.6</v>
      </c>
      <c r="F336" s="15">
        <v>1.967</v>
      </c>
      <c r="G336">
        <v>1.263</v>
      </c>
      <c r="H336" s="18">
        <v>888.25</v>
      </c>
      <c r="I336" s="11">
        <v>129.04</v>
      </c>
      <c r="J336" s="3">
        <v>5</v>
      </c>
      <c r="K336" s="3">
        <v>3</v>
      </c>
      <c r="L336" s="3">
        <v>7</v>
      </c>
      <c r="M336" s="6">
        <v>4.2</v>
      </c>
      <c r="N336" s="14">
        <v>-0.9</v>
      </c>
      <c r="O336" s="5">
        <v>806300</v>
      </c>
      <c r="P336">
        <v>377.25</v>
      </c>
      <c r="Q336" s="12">
        <v>290.75</v>
      </c>
      <c r="R336" s="12">
        <v>655</v>
      </c>
      <c r="S336" s="12">
        <v>160.75</v>
      </c>
      <c r="T336" s="12">
        <v>604.25</v>
      </c>
    </row>
    <row r="337" spans="1:20" ht="12.75">
      <c r="A337" s="2">
        <v>39603</v>
      </c>
      <c r="B337" s="6">
        <v>12403</v>
      </c>
      <c r="C337" s="3">
        <v>2</v>
      </c>
      <c r="D337" s="3">
        <v>3.94</v>
      </c>
      <c r="E337" s="8">
        <v>6057.7</v>
      </c>
      <c r="F337" s="15">
        <v>1.965</v>
      </c>
      <c r="G337" s="9">
        <v>1.273</v>
      </c>
      <c r="H337" s="18">
        <v>879.25</v>
      </c>
      <c r="I337" s="11">
        <v>125.73</v>
      </c>
      <c r="J337" s="3">
        <v>5</v>
      </c>
      <c r="K337" s="3">
        <v>3</v>
      </c>
      <c r="L337" s="3">
        <v>7</v>
      </c>
      <c r="M337" s="6">
        <v>4.2</v>
      </c>
      <c r="N337" s="14">
        <v>-0.9</v>
      </c>
      <c r="O337" s="5">
        <v>806300</v>
      </c>
      <c r="P337" s="9">
        <v>388.75</v>
      </c>
      <c r="Q337" s="9">
        <v>292.75</v>
      </c>
      <c r="R337" s="9">
        <v>670.5</v>
      </c>
      <c r="S337" s="9">
        <v>162.75</v>
      </c>
      <c r="T337" s="9">
        <v>604.5</v>
      </c>
    </row>
    <row r="338" spans="1:20" ht="12.75">
      <c r="A338" s="2">
        <v>39604</v>
      </c>
      <c r="B338" s="6">
        <v>12390</v>
      </c>
      <c r="C338" s="3">
        <v>2</v>
      </c>
      <c r="D338" s="3">
        <v>3.94</v>
      </c>
      <c r="E338" s="6">
        <v>5970.1</v>
      </c>
      <c r="F338" s="15">
        <v>1.954</v>
      </c>
      <c r="G338" s="12">
        <v>1.265</v>
      </c>
      <c r="H338" s="11">
        <v>883.5</v>
      </c>
      <c r="I338" s="18">
        <v>122.63</v>
      </c>
      <c r="J338" s="3">
        <v>5</v>
      </c>
      <c r="K338" s="3">
        <v>3</v>
      </c>
      <c r="L338" s="3">
        <v>7</v>
      </c>
      <c r="M338" s="6">
        <v>4.2</v>
      </c>
      <c r="N338" s="14">
        <v>-0.9</v>
      </c>
      <c r="O338" s="5">
        <v>806300</v>
      </c>
      <c r="P338" s="9">
        <v>390.25</v>
      </c>
      <c r="Q338" s="12">
        <v>292.25</v>
      </c>
      <c r="R338" s="12">
        <v>661.5</v>
      </c>
      <c r="S338" s="12">
        <v>154.75</v>
      </c>
      <c r="T338" s="12">
        <v>581</v>
      </c>
    </row>
    <row r="339" spans="1:20" ht="12.75">
      <c r="A339" s="2">
        <v>39605</v>
      </c>
      <c r="B339" s="8">
        <v>12604.4</v>
      </c>
      <c r="C339" s="3">
        <v>2</v>
      </c>
      <c r="D339" s="3">
        <v>3.94</v>
      </c>
      <c r="E339" s="8">
        <v>5995.3</v>
      </c>
      <c r="F339" s="10">
        <v>1.955</v>
      </c>
      <c r="G339" s="12">
        <v>1.256</v>
      </c>
      <c r="H339" s="18">
        <v>878.75</v>
      </c>
      <c r="I339" s="18">
        <v>123.31</v>
      </c>
      <c r="J339" s="3">
        <v>5</v>
      </c>
      <c r="K339" s="3">
        <v>3</v>
      </c>
      <c r="L339" s="3">
        <v>7</v>
      </c>
      <c r="M339" s="6">
        <v>4.2</v>
      </c>
      <c r="N339" s="16">
        <v>-3.8</v>
      </c>
      <c r="O339" s="5">
        <v>806300</v>
      </c>
      <c r="P339" s="12">
        <v>385.5</v>
      </c>
      <c r="Q339" s="12">
        <v>284.75</v>
      </c>
      <c r="R339" s="12">
        <v>660</v>
      </c>
      <c r="S339" s="9">
        <v>160.5</v>
      </c>
      <c r="T339" s="9">
        <v>583</v>
      </c>
    </row>
    <row r="340" spans="1:20" ht="12.75">
      <c r="A340" s="2">
        <v>39606</v>
      </c>
      <c r="B340" s="6">
        <v>12209.8</v>
      </c>
      <c r="C340" s="3">
        <v>2</v>
      </c>
      <c r="D340" s="3">
        <v>3.94</v>
      </c>
      <c r="E340" s="6">
        <v>5906.8</v>
      </c>
      <c r="F340" s="10">
        <v>1.969</v>
      </c>
      <c r="G340" s="12">
        <v>1.251</v>
      </c>
      <c r="H340" s="11">
        <v>890.5</v>
      </c>
      <c r="I340" s="11">
        <v>133.69</v>
      </c>
      <c r="J340" s="3">
        <v>5</v>
      </c>
      <c r="K340" s="3">
        <v>3</v>
      </c>
      <c r="L340" s="3">
        <v>7</v>
      </c>
      <c r="M340" s="6">
        <v>4.2</v>
      </c>
      <c r="N340" s="14">
        <v>-3.8</v>
      </c>
      <c r="O340" s="5">
        <v>806300</v>
      </c>
      <c r="P340" s="9">
        <v>368.25</v>
      </c>
      <c r="Q340" s="12">
        <v>276.5</v>
      </c>
      <c r="R340" s="12">
        <v>644</v>
      </c>
      <c r="S340" s="12">
        <v>161.25</v>
      </c>
      <c r="T340" s="12">
        <v>580.75</v>
      </c>
    </row>
    <row r="341" spans="1:20" ht="12.75">
      <c r="A341" s="2">
        <v>39609</v>
      </c>
      <c r="B341" s="8">
        <v>12280</v>
      </c>
      <c r="C341" s="3">
        <v>2</v>
      </c>
      <c r="D341" s="3">
        <v>3.94</v>
      </c>
      <c r="E341" s="6">
        <v>5877.6</v>
      </c>
      <c r="F341" s="10">
        <v>1.975</v>
      </c>
      <c r="G341" s="9">
        <v>1.256</v>
      </c>
      <c r="H341" s="11">
        <v>896.25</v>
      </c>
      <c r="I341" s="11">
        <v>136.03</v>
      </c>
      <c r="J341" s="3">
        <v>5</v>
      </c>
      <c r="K341" s="3">
        <v>3</v>
      </c>
      <c r="L341" s="3">
        <v>7</v>
      </c>
      <c r="M341" s="6">
        <v>4.2</v>
      </c>
      <c r="N341" s="14">
        <v>-3.8</v>
      </c>
      <c r="O341" s="5">
        <v>806300</v>
      </c>
      <c r="P341" s="9">
        <v>358.75</v>
      </c>
      <c r="Q341" s="12">
        <v>274.5</v>
      </c>
      <c r="R341" s="12">
        <v>634</v>
      </c>
      <c r="S341" s="12">
        <v>155.5</v>
      </c>
      <c r="T341" s="9">
        <v>594.75</v>
      </c>
    </row>
    <row r="342" spans="1:20" ht="12.75">
      <c r="A342" s="2">
        <v>39610</v>
      </c>
      <c r="B342" s="8">
        <v>12289</v>
      </c>
      <c r="C342" s="3">
        <v>2</v>
      </c>
      <c r="D342" s="3">
        <v>3.94</v>
      </c>
      <c r="E342" s="6">
        <v>5827.3</v>
      </c>
      <c r="F342" s="15">
        <v>1.955</v>
      </c>
      <c r="G342" s="9">
        <v>1.263</v>
      </c>
      <c r="H342" s="18">
        <v>878</v>
      </c>
      <c r="I342" s="18">
        <v>133.07</v>
      </c>
      <c r="J342" s="3">
        <v>5</v>
      </c>
      <c r="K342" s="3">
        <v>3</v>
      </c>
      <c r="L342" s="3">
        <v>7</v>
      </c>
      <c r="M342" s="6">
        <v>4.2</v>
      </c>
      <c r="N342" s="14">
        <v>-3.8</v>
      </c>
      <c r="O342" s="5">
        <v>806300</v>
      </c>
      <c r="P342" s="12">
        <v>351.5</v>
      </c>
      <c r="Q342" s="12">
        <v>272.5</v>
      </c>
      <c r="R342" s="9">
        <v>637.5</v>
      </c>
      <c r="S342" s="12">
        <v>155.5</v>
      </c>
      <c r="T342" s="12">
        <v>583</v>
      </c>
    </row>
    <row r="343" spans="1:20" ht="12.75">
      <c r="A343" s="2">
        <v>39611</v>
      </c>
      <c r="B343" s="6">
        <v>12083.7</v>
      </c>
      <c r="C343" s="3">
        <v>2</v>
      </c>
      <c r="D343" s="17">
        <v>4.18</v>
      </c>
      <c r="E343" s="6">
        <v>5723.3</v>
      </c>
      <c r="F343" s="10">
        <v>1.963</v>
      </c>
      <c r="G343" s="12">
        <v>1.263</v>
      </c>
      <c r="H343" s="18">
        <v>876.25</v>
      </c>
      <c r="I343" s="11">
        <v>135.55</v>
      </c>
      <c r="J343" s="3">
        <v>5</v>
      </c>
      <c r="K343" s="3">
        <v>3</v>
      </c>
      <c r="L343" s="3">
        <v>7</v>
      </c>
      <c r="M343" s="6">
        <v>4.2</v>
      </c>
      <c r="N343" s="14">
        <v>-3.8</v>
      </c>
      <c r="O343" s="13">
        <v>819300</v>
      </c>
      <c r="P343" s="12">
        <v>332.75</v>
      </c>
      <c r="Q343" s="12">
        <v>270</v>
      </c>
      <c r="R343" s="12">
        <v>609</v>
      </c>
      <c r="S343" s="12">
        <v>150.75</v>
      </c>
      <c r="T343" s="9">
        <v>591.75</v>
      </c>
    </row>
    <row r="344" spans="1:20" ht="12.75">
      <c r="A344" s="2">
        <v>39612</v>
      </c>
      <c r="B344" s="8">
        <v>12141.6</v>
      </c>
      <c r="C344" s="3">
        <v>2</v>
      </c>
      <c r="D344" s="3">
        <v>4.18</v>
      </c>
      <c r="E344" s="8">
        <v>5790.5</v>
      </c>
      <c r="F344" s="10">
        <v>1.945</v>
      </c>
      <c r="G344" s="12">
        <v>1.263</v>
      </c>
      <c r="H344" s="18">
        <v>862.25</v>
      </c>
      <c r="I344" s="18">
        <v>132.34</v>
      </c>
      <c r="J344" s="3">
        <v>5</v>
      </c>
      <c r="K344" s="3">
        <v>3</v>
      </c>
      <c r="L344" s="3">
        <v>7</v>
      </c>
      <c r="M344" s="6">
        <v>4.2</v>
      </c>
      <c r="N344" s="14">
        <v>-3.8</v>
      </c>
      <c r="O344" s="5">
        <v>819300</v>
      </c>
      <c r="P344" s="9">
        <v>353.5</v>
      </c>
      <c r="Q344" s="12">
        <v>268.5</v>
      </c>
      <c r="R344" s="9">
        <v>638.5</v>
      </c>
      <c r="S344" s="12">
        <v>149.5</v>
      </c>
      <c r="T344" s="9">
        <v>594.25</v>
      </c>
    </row>
    <row r="345" spans="1:20" ht="12.75">
      <c r="A345" s="2">
        <v>39613</v>
      </c>
      <c r="B345" s="8">
        <v>12256.2</v>
      </c>
      <c r="C345" s="3">
        <v>2</v>
      </c>
      <c r="D345" s="3">
        <v>4.18</v>
      </c>
      <c r="E345" s="8">
        <v>5802.8</v>
      </c>
      <c r="F345" s="10">
        <v>1.95</v>
      </c>
      <c r="G345" s="9">
        <v>1.267</v>
      </c>
      <c r="H345" s="11">
        <v>866</v>
      </c>
      <c r="I345" s="11">
        <v>134.69</v>
      </c>
      <c r="J345" s="3">
        <v>5</v>
      </c>
      <c r="K345" s="3">
        <v>3</v>
      </c>
      <c r="L345" s="3">
        <v>7</v>
      </c>
      <c r="M345" s="6">
        <v>4.2</v>
      </c>
      <c r="N345" s="14">
        <v>-3.8</v>
      </c>
      <c r="O345" s="5">
        <v>819300</v>
      </c>
      <c r="P345" s="9">
        <v>356</v>
      </c>
      <c r="Q345" s="9">
        <v>276.5</v>
      </c>
      <c r="R345" s="12">
        <v>628.5</v>
      </c>
      <c r="S345" s="9">
        <v>153</v>
      </c>
      <c r="T345" s="9">
        <v>585.25</v>
      </c>
    </row>
    <row r="346" spans="1:20" ht="12.75">
      <c r="A346" s="2">
        <v>39616</v>
      </c>
      <c r="B346" s="8">
        <v>12265.1</v>
      </c>
      <c r="C346" s="3">
        <v>2</v>
      </c>
      <c r="D346" s="3">
        <v>4.18</v>
      </c>
      <c r="E346" s="6">
        <v>5794.6</v>
      </c>
      <c r="F346" s="10">
        <v>1.965</v>
      </c>
      <c r="G346" s="9">
        <v>1.268</v>
      </c>
      <c r="H346" s="11">
        <v>888.25</v>
      </c>
      <c r="I346" s="11">
        <v>136.71</v>
      </c>
      <c r="J346" s="3">
        <v>5</v>
      </c>
      <c r="K346" s="3">
        <v>3</v>
      </c>
      <c r="L346" s="3">
        <v>7</v>
      </c>
      <c r="M346" s="6">
        <v>4.2</v>
      </c>
      <c r="N346" s="14">
        <v>-3.8</v>
      </c>
      <c r="O346" s="5">
        <v>819300</v>
      </c>
      <c r="P346" s="9">
        <v>348</v>
      </c>
      <c r="Q346" s="12">
        <v>273.25</v>
      </c>
      <c r="R346" s="9">
        <v>622</v>
      </c>
      <c r="S346" s="12">
        <v>150</v>
      </c>
      <c r="T346" s="9">
        <v>587.2</v>
      </c>
    </row>
    <row r="347" spans="1:20" ht="12.75">
      <c r="A347" s="2">
        <v>39617</v>
      </c>
      <c r="B347" s="6">
        <v>12160</v>
      </c>
      <c r="C347" s="3">
        <v>2</v>
      </c>
      <c r="D347" s="3">
        <v>4.18</v>
      </c>
      <c r="E347" s="8">
        <v>5861.9</v>
      </c>
      <c r="F347" s="15">
        <v>1.956</v>
      </c>
      <c r="G347" s="12">
        <v>1.261</v>
      </c>
      <c r="H347" s="18">
        <v>881.5</v>
      </c>
      <c r="I347" s="18">
        <v>133.8</v>
      </c>
      <c r="J347" s="3">
        <v>5</v>
      </c>
      <c r="K347" s="3">
        <v>3</v>
      </c>
      <c r="L347" s="3">
        <v>7</v>
      </c>
      <c r="M347" s="16">
        <v>4.3</v>
      </c>
      <c r="N347" s="14">
        <v>-3.8</v>
      </c>
      <c r="O347" s="5">
        <v>819300</v>
      </c>
      <c r="P347" s="9">
        <v>356.25</v>
      </c>
      <c r="Q347" s="9">
        <v>277.75</v>
      </c>
      <c r="R347" s="9">
        <v>623.5</v>
      </c>
      <c r="S347" s="9">
        <v>152</v>
      </c>
      <c r="T347" s="9">
        <v>592.25</v>
      </c>
    </row>
    <row r="348" spans="1:20" ht="12.75">
      <c r="A348" s="2">
        <v>39618</v>
      </c>
      <c r="B348" s="6">
        <v>12029</v>
      </c>
      <c r="C348" s="3">
        <v>2</v>
      </c>
      <c r="D348" s="3">
        <v>4.18</v>
      </c>
      <c r="E348" s="6">
        <v>5756.9</v>
      </c>
      <c r="F348" s="10">
        <v>1.956</v>
      </c>
      <c r="G348" s="9">
        <v>1.262</v>
      </c>
      <c r="H348" s="11">
        <v>887.5</v>
      </c>
      <c r="I348" s="18">
        <v>132.79</v>
      </c>
      <c r="J348" s="3">
        <v>5</v>
      </c>
      <c r="K348" s="3">
        <v>3</v>
      </c>
      <c r="L348" s="3">
        <v>7</v>
      </c>
      <c r="M348" s="6">
        <v>4.3</v>
      </c>
      <c r="N348" s="14">
        <v>-3.8</v>
      </c>
      <c r="O348" s="5">
        <v>819300</v>
      </c>
      <c r="P348" s="12">
        <v>341.25</v>
      </c>
      <c r="Q348" s="12">
        <v>271.25</v>
      </c>
      <c r="R348" s="12">
        <v>607</v>
      </c>
      <c r="S348" s="12">
        <v>150</v>
      </c>
      <c r="T348" s="12">
        <v>579.75</v>
      </c>
    </row>
    <row r="349" spans="1:20" ht="12.75">
      <c r="A349" s="2">
        <v>39620</v>
      </c>
      <c r="B349" s="6">
        <v>11842.69</v>
      </c>
      <c r="C349" s="3">
        <v>2</v>
      </c>
      <c r="D349" s="3">
        <v>4.18</v>
      </c>
      <c r="E349" s="6">
        <v>5620.8</v>
      </c>
      <c r="F349" s="10">
        <v>1.974</v>
      </c>
      <c r="G349" s="9">
        <v>1.263</v>
      </c>
      <c r="H349" s="11">
        <v>907.5</v>
      </c>
      <c r="I349" s="11">
        <v>135.58</v>
      </c>
      <c r="J349" s="3">
        <v>5</v>
      </c>
      <c r="K349" s="3">
        <v>3</v>
      </c>
      <c r="L349" s="3">
        <v>7</v>
      </c>
      <c r="M349" s="6">
        <v>4.3</v>
      </c>
      <c r="N349" s="14">
        <v>-3.8</v>
      </c>
      <c r="O349" s="5">
        <v>819300</v>
      </c>
      <c r="P349" s="12">
        <v>327.5</v>
      </c>
      <c r="Q349" s="12">
        <v>265</v>
      </c>
      <c r="R349" s="12">
        <v>592</v>
      </c>
      <c r="S349" s="12">
        <v>144.25</v>
      </c>
      <c r="T349" s="12">
        <v>564.5</v>
      </c>
    </row>
    <row r="350" spans="1:20" ht="12.75">
      <c r="A350" s="2">
        <v>39623</v>
      </c>
      <c r="B350" s="6">
        <v>11842.36</v>
      </c>
      <c r="C350" s="3">
        <v>2</v>
      </c>
      <c r="D350" s="3">
        <v>4.18</v>
      </c>
      <c r="E350" s="8">
        <v>5667.2</v>
      </c>
      <c r="F350" s="15">
        <v>1.962</v>
      </c>
      <c r="G350" s="9">
        <v>1.265</v>
      </c>
      <c r="H350" s="18">
        <v>881</v>
      </c>
      <c r="I350" s="11">
        <v>136.34</v>
      </c>
      <c r="J350" s="3">
        <v>5</v>
      </c>
      <c r="K350" s="17">
        <v>3.3</v>
      </c>
      <c r="L350" s="3">
        <v>7</v>
      </c>
      <c r="M350" s="6">
        <v>4.3</v>
      </c>
      <c r="N350" s="14">
        <v>-3.8</v>
      </c>
      <c r="O350" s="13">
        <v>819000</v>
      </c>
      <c r="P350">
        <v>318.75</v>
      </c>
      <c r="Q350" s="9">
        <v>269.25</v>
      </c>
      <c r="R350" s="12">
        <v>589.5</v>
      </c>
      <c r="S350" s="9">
        <v>145</v>
      </c>
      <c r="T350" s="9">
        <v>574.75</v>
      </c>
    </row>
    <row r="351" spans="1:20" ht="12.75">
      <c r="A351" s="2">
        <v>39624</v>
      </c>
      <c r="B351" s="6">
        <v>11807.4</v>
      </c>
      <c r="C351" s="3">
        <v>2</v>
      </c>
      <c r="D351" s="3">
        <v>4.18</v>
      </c>
      <c r="E351" s="6">
        <v>5634.7</v>
      </c>
      <c r="F351" s="10">
        <v>1.97</v>
      </c>
      <c r="G351" s="12">
        <v>1.264</v>
      </c>
      <c r="H351" s="11">
        <v>889.5</v>
      </c>
      <c r="I351" s="18">
        <v>135.82</v>
      </c>
      <c r="J351" s="3">
        <v>5</v>
      </c>
      <c r="K351" s="3">
        <v>3.3</v>
      </c>
      <c r="L351" s="3">
        <v>7</v>
      </c>
      <c r="M351" s="6">
        <v>4.3</v>
      </c>
      <c r="N351" s="14">
        <v>-3.8</v>
      </c>
      <c r="O351" s="5">
        <v>819300</v>
      </c>
      <c r="P351" s="9">
        <v>325.75</v>
      </c>
      <c r="Q351" s="9">
        <v>269.5</v>
      </c>
      <c r="R351" s="12">
        <v>575</v>
      </c>
      <c r="S351" s="12">
        <v>145</v>
      </c>
      <c r="T351" s="12">
        <v>571.25</v>
      </c>
    </row>
    <row r="352" spans="1:20" ht="12.75">
      <c r="A352" s="2">
        <v>39625</v>
      </c>
      <c r="B352" s="8">
        <v>11812</v>
      </c>
      <c r="C352" s="3">
        <v>2</v>
      </c>
      <c r="D352" s="3">
        <v>4.18</v>
      </c>
      <c r="E352" s="8">
        <v>5666.1</v>
      </c>
      <c r="F352" s="15">
        <v>1.967</v>
      </c>
      <c r="G352" s="12">
        <v>1.263</v>
      </c>
      <c r="H352" s="18">
        <v>882.75</v>
      </c>
      <c r="I352" s="18">
        <v>132.6</v>
      </c>
      <c r="J352" s="3">
        <v>5</v>
      </c>
      <c r="K352" s="3">
        <v>3.3</v>
      </c>
      <c r="L352" s="3">
        <v>7</v>
      </c>
      <c r="M352" s="6">
        <v>4.3</v>
      </c>
      <c r="N352" s="14">
        <v>-3.8</v>
      </c>
      <c r="O352" s="5">
        <v>819300</v>
      </c>
      <c r="P352" s="9">
        <v>328.5</v>
      </c>
      <c r="Q352" s="9">
        <v>276.5</v>
      </c>
      <c r="R352" s="9">
        <v>587</v>
      </c>
      <c r="S352" s="9">
        <v>146</v>
      </c>
      <c r="T352" s="9">
        <v>573.75</v>
      </c>
    </row>
    <row r="353" spans="1:20" ht="12.75">
      <c r="A353" s="2">
        <v>39626</v>
      </c>
      <c r="B353" s="6">
        <v>11453.4</v>
      </c>
      <c r="C353" s="3">
        <v>2</v>
      </c>
      <c r="D353" s="3">
        <v>4.18</v>
      </c>
      <c r="E353" s="6">
        <v>5518.2</v>
      </c>
      <c r="F353" s="10">
        <v>1.987</v>
      </c>
      <c r="G353" s="12">
        <v>1.263</v>
      </c>
      <c r="H353" s="11">
        <v>909.5</v>
      </c>
      <c r="I353" s="11">
        <v>137.76</v>
      </c>
      <c r="J353" s="3">
        <v>5</v>
      </c>
      <c r="K353" s="3">
        <v>3.3</v>
      </c>
      <c r="L353" s="3">
        <v>7</v>
      </c>
      <c r="M353" s="6">
        <v>4.3</v>
      </c>
      <c r="N353" s="14">
        <v>-3.8</v>
      </c>
      <c r="O353" s="5">
        <v>819300</v>
      </c>
      <c r="P353">
        <v>306.75</v>
      </c>
      <c r="Q353" s="12">
        <v>268.25</v>
      </c>
      <c r="R353" s="12">
        <v>551</v>
      </c>
      <c r="S353" s="12">
        <v>139.75</v>
      </c>
      <c r="T353" s="12">
        <v>570</v>
      </c>
    </row>
    <row r="354" spans="1:20" ht="12.75">
      <c r="A354" s="2">
        <v>39627</v>
      </c>
      <c r="B354" s="6">
        <v>11346</v>
      </c>
      <c r="C354" s="3">
        <v>2</v>
      </c>
      <c r="D354" s="3">
        <v>4.18</v>
      </c>
      <c r="E354" s="8">
        <v>5529.9</v>
      </c>
      <c r="F354" s="10">
        <v>1.994</v>
      </c>
      <c r="G354" s="9">
        <v>1.266</v>
      </c>
      <c r="H354" s="11">
        <v>919.5</v>
      </c>
      <c r="I354" s="11">
        <v>140.88</v>
      </c>
      <c r="J354" s="3">
        <v>5</v>
      </c>
      <c r="K354" s="3">
        <v>3.3</v>
      </c>
      <c r="L354" s="3">
        <v>7</v>
      </c>
      <c r="M354" s="6">
        <v>4.3</v>
      </c>
      <c r="N354" s="14">
        <v>-3.8</v>
      </c>
      <c r="O354" s="5">
        <v>819300</v>
      </c>
      <c r="P354" s="9">
        <v>317</v>
      </c>
      <c r="Q354" s="12">
        <v>262.5</v>
      </c>
      <c r="R354" s="12">
        <v>543</v>
      </c>
      <c r="S354" s="9">
        <v>141.75</v>
      </c>
      <c r="T354" s="12">
        <v>565.25</v>
      </c>
    </row>
    <row r="355" spans="1:20" ht="12.75">
      <c r="A355" s="2">
        <v>39630</v>
      </c>
      <c r="B355" s="8">
        <v>11350</v>
      </c>
      <c r="C355" s="3">
        <v>2</v>
      </c>
      <c r="D355" s="3">
        <v>4.18</v>
      </c>
      <c r="E355" s="6">
        <v>5625.9</v>
      </c>
      <c r="F355" s="15">
        <v>1.991</v>
      </c>
      <c r="G355" s="12">
        <v>1.264</v>
      </c>
      <c r="H355" s="11">
        <v>930.25</v>
      </c>
      <c r="I355" s="18">
        <v>140.81</v>
      </c>
      <c r="J355" s="3">
        <v>5</v>
      </c>
      <c r="K355" s="3">
        <v>3.3</v>
      </c>
      <c r="L355" s="3">
        <v>7</v>
      </c>
      <c r="M355" s="6">
        <v>4.3</v>
      </c>
      <c r="N355" s="14">
        <v>-3.8</v>
      </c>
      <c r="O355" s="5">
        <v>819300</v>
      </c>
      <c r="P355" s="12">
        <v>310.75</v>
      </c>
      <c r="Q355" s="9">
        <v>266.25</v>
      </c>
      <c r="R355" s="12">
        <v>533</v>
      </c>
      <c r="S355" s="9">
        <v>149.25</v>
      </c>
      <c r="T355" s="9">
        <v>583.25</v>
      </c>
    </row>
    <row r="356" spans="1:20" ht="12.75">
      <c r="A356" s="2">
        <v>39631</v>
      </c>
      <c r="B356" s="6">
        <v>11382.3</v>
      </c>
      <c r="C356" s="3">
        <v>2</v>
      </c>
      <c r="D356" s="3">
        <v>4.18</v>
      </c>
      <c r="E356" s="6">
        <v>5479.9</v>
      </c>
      <c r="F356" s="10">
        <v>1.995</v>
      </c>
      <c r="G356" s="12">
        <v>1.262</v>
      </c>
      <c r="H356" s="11">
        <v>937.5</v>
      </c>
      <c r="I356" s="11">
        <v>142.35</v>
      </c>
      <c r="J356" s="3">
        <v>5</v>
      </c>
      <c r="K356" s="3">
        <v>3.3</v>
      </c>
      <c r="L356" s="3">
        <v>7</v>
      </c>
      <c r="M356" s="6">
        <v>4.3</v>
      </c>
      <c r="N356" s="14">
        <v>-3.8</v>
      </c>
      <c r="O356" s="5">
        <v>819300</v>
      </c>
      <c r="P356" s="12">
        <v>301</v>
      </c>
      <c r="Q356" s="12">
        <v>263</v>
      </c>
      <c r="R356" s="12">
        <v>520</v>
      </c>
      <c r="S356" s="12">
        <v>147.25</v>
      </c>
      <c r="T356" s="12">
        <v>569.5</v>
      </c>
    </row>
    <row r="357" spans="1:20" ht="12.75">
      <c r="A357" s="2">
        <v>39632</v>
      </c>
      <c r="B357" s="6">
        <v>11215</v>
      </c>
      <c r="C357" s="3">
        <v>2</v>
      </c>
      <c r="D357" s="3">
        <v>4.18</v>
      </c>
      <c r="E357" s="6">
        <v>5426.3</v>
      </c>
      <c r="F357" s="15">
        <v>1.993</v>
      </c>
      <c r="G357" s="12">
        <v>1.256</v>
      </c>
      <c r="H357" s="18">
        <v>935.25</v>
      </c>
      <c r="I357" s="11">
        <v>143.15</v>
      </c>
      <c r="J357" s="3">
        <v>5</v>
      </c>
      <c r="K357" s="3">
        <v>3.3</v>
      </c>
      <c r="L357" s="3">
        <v>7</v>
      </c>
      <c r="M357" s="6">
        <v>4.3</v>
      </c>
      <c r="N357" s="14">
        <v>-3.8</v>
      </c>
      <c r="O357" s="5">
        <v>819300</v>
      </c>
      <c r="P357" s="12">
        <v>295.5</v>
      </c>
      <c r="Q357" s="12">
        <v>253</v>
      </c>
      <c r="R357" s="12">
        <v>516</v>
      </c>
      <c r="S357" s="9">
        <v>152.5</v>
      </c>
      <c r="T357" s="12">
        <v>558.5</v>
      </c>
    </row>
    <row r="358" spans="1:20" ht="12.75">
      <c r="A358" s="2">
        <v>39633</v>
      </c>
      <c r="B358" s="8">
        <v>11288.5</v>
      </c>
      <c r="C358" s="3">
        <v>2</v>
      </c>
      <c r="D358" s="3">
        <v>4.18</v>
      </c>
      <c r="E358" s="8">
        <v>5476.6</v>
      </c>
      <c r="F358" s="15">
        <v>1.982</v>
      </c>
      <c r="G358" s="9">
        <v>1.263</v>
      </c>
      <c r="H358" s="18">
        <v>935.25</v>
      </c>
      <c r="I358" s="11">
        <v>144.77</v>
      </c>
      <c r="J358" s="3">
        <v>5</v>
      </c>
      <c r="K358" s="3">
        <v>3.3</v>
      </c>
      <c r="L358" s="3">
        <v>7</v>
      </c>
      <c r="M358" s="6">
        <v>4.3</v>
      </c>
      <c r="N358" s="14">
        <v>-3.8</v>
      </c>
      <c r="O358" s="5">
        <v>819300</v>
      </c>
      <c r="P358" s="9">
        <v>306</v>
      </c>
      <c r="Q358" s="12">
        <v>247.5</v>
      </c>
      <c r="R358" s="9">
        <v>530</v>
      </c>
      <c r="S358" s="9">
        <v>152.75</v>
      </c>
      <c r="T358" s="12">
        <v>557</v>
      </c>
    </row>
    <row r="359" spans="1:20" ht="12.75">
      <c r="A359" s="2">
        <v>39634</v>
      </c>
      <c r="B359" s="6"/>
      <c r="C359" s="3">
        <v>2</v>
      </c>
      <c r="D359" s="3">
        <v>4.18</v>
      </c>
      <c r="E359" s="6">
        <v>5412.8</v>
      </c>
      <c r="F359" s="15">
        <v>1.982</v>
      </c>
      <c r="G359" s="12">
        <v>1.263</v>
      </c>
      <c r="H359" s="18">
        <v>934</v>
      </c>
      <c r="I359" s="11">
        <v>144.95</v>
      </c>
      <c r="J359" s="3">
        <v>5</v>
      </c>
      <c r="K359" s="3">
        <v>3.3</v>
      </c>
      <c r="L359" s="3">
        <v>7</v>
      </c>
      <c r="M359" s="6">
        <v>4.3</v>
      </c>
      <c r="N359" s="14">
        <v>-3.8</v>
      </c>
      <c r="O359" s="5">
        <v>819300</v>
      </c>
      <c r="P359" s="12">
        <v>299.25</v>
      </c>
      <c r="Q359" s="9">
        <v>254.5</v>
      </c>
      <c r="R359" s="12">
        <v>508.5</v>
      </c>
      <c r="S359" s="12">
        <v>152</v>
      </c>
      <c r="T359" s="12">
        <v>551.5</v>
      </c>
    </row>
    <row r="360" spans="1:20" ht="12.75">
      <c r="A360" s="2">
        <v>39637</v>
      </c>
      <c r="B360" s="6">
        <v>11231.9</v>
      </c>
      <c r="C360" s="3">
        <v>2</v>
      </c>
      <c r="D360" s="3">
        <v>4.18</v>
      </c>
      <c r="E360" s="6">
        <v>5512.7</v>
      </c>
      <c r="F360" s="15">
        <v>1.971</v>
      </c>
      <c r="G360" s="12">
        <v>1.258</v>
      </c>
      <c r="H360" s="18">
        <v>931.25</v>
      </c>
      <c r="I360" s="18">
        <v>141.12</v>
      </c>
      <c r="J360" s="3">
        <v>5</v>
      </c>
      <c r="K360" s="3">
        <v>3.3</v>
      </c>
      <c r="L360" s="3">
        <v>7</v>
      </c>
      <c r="M360" s="6">
        <v>4.3</v>
      </c>
      <c r="N360" s="14">
        <v>-3.8</v>
      </c>
      <c r="O360" s="5">
        <v>819300</v>
      </c>
      <c r="P360" s="12">
        <v>295.5</v>
      </c>
      <c r="Q360" s="9">
        <v>256</v>
      </c>
      <c r="R360" s="9">
        <v>523</v>
      </c>
      <c r="S360" s="9">
        <v>154.5</v>
      </c>
      <c r="T360" s="9">
        <v>572</v>
      </c>
    </row>
    <row r="361" spans="1:20" ht="12.75">
      <c r="A361" s="2">
        <v>39638</v>
      </c>
      <c r="B361" s="8">
        <v>11384</v>
      </c>
      <c r="C361" s="3">
        <v>2</v>
      </c>
      <c r="D361" s="3">
        <v>4.18</v>
      </c>
      <c r="E361" s="6">
        <v>5440.5</v>
      </c>
      <c r="F361" s="15">
        <v>1.968</v>
      </c>
      <c r="G361" s="12">
        <v>1.257</v>
      </c>
      <c r="H361" s="18">
        <v>916.75</v>
      </c>
      <c r="I361" s="18">
        <v>136.55</v>
      </c>
      <c r="J361" s="3">
        <v>5</v>
      </c>
      <c r="K361" s="3">
        <v>3.3</v>
      </c>
      <c r="L361" s="3">
        <v>7</v>
      </c>
      <c r="M361" s="6">
        <v>4.3</v>
      </c>
      <c r="N361" s="14">
        <v>-3.8</v>
      </c>
      <c r="O361" s="5">
        <v>819300</v>
      </c>
      <c r="P361" s="12">
        <v>285.75</v>
      </c>
      <c r="Q361" s="9">
        <v>260.5</v>
      </c>
      <c r="R361" s="12">
        <v>518.5</v>
      </c>
      <c r="S361" s="9">
        <v>156.5</v>
      </c>
      <c r="T361" s="12">
        <v>552.5</v>
      </c>
    </row>
    <row r="362" spans="1:20" ht="12.75">
      <c r="A362" s="2">
        <v>39639</v>
      </c>
      <c r="B362" s="6">
        <v>11147.4</v>
      </c>
      <c r="C362" s="3">
        <v>2</v>
      </c>
      <c r="D362" s="3">
        <v>4.18</v>
      </c>
      <c r="E362" s="8">
        <v>5529.6</v>
      </c>
      <c r="F362" s="10">
        <v>1.98</v>
      </c>
      <c r="G362" s="9">
        <v>1.259</v>
      </c>
      <c r="H362" s="11">
        <v>921</v>
      </c>
      <c r="I362" s="11">
        <v>137.77</v>
      </c>
      <c r="J362" s="3">
        <v>5</v>
      </c>
      <c r="K362" s="3">
        <v>3.3</v>
      </c>
      <c r="L362" s="3">
        <v>7</v>
      </c>
      <c r="M362" s="6">
        <v>4.3</v>
      </c>
      <c r="N362" s="14">
        <v>-3.8</v>
      </c>
      <c r="O362" s="5">
        <v>819300</v>
      </c>
      <c r="P362" s="9">
        <v>304.75</v>
      </c>
      <c r="Q362" s="9">
        <v>270</v>
      </c>
      <c r="R362" s="9">
        <v>546</v>
      </c>
      <c r="S362" s="9">
        <v>158</v>
      </c>
      <c r="T362" s="12">
        <v>552</v>
      </c>
    </row>
    <row r="363" spans="1:20" ht="12.75">
      <c r="A363" s="2">
        <v>39640</v>
      </c>
      <c r="B363" s="8">
        <v>11229</v>
      </c>
      <c r="C363" s="3">
        <v>2</v>
      </c>
      <c r="D363" s="3">
        <v>4.18</v>
      </c>
      <c r="E363" s="6">
        <v>5406.8</v>
      </c>
      <c r="F363" s="15">
        <v>1.977</v>
      </c>
      <c r="G363" s="12">
        <v>1.254</v>
      </c>
      <c r="H363" s="11">
        <v>927.25</v>
      </c>
      <c r="I363" s="11">
        <v>138.36</v>
      </c>
      <c r="J363" s="3">
        <v>5</v>
      </c>
      <c r="K363" s="3">
        <v>3.3</v>
      </c>
      <c r="L363" s="3">
        <v>7</v>
      </c>
      <c r="M363" s="6">
        <v>4.3</v>
      </c>
      <c r="N363" s="16">
        <v>-6.1</v>
      </c>
      <c r="O363" s="5">
        <v>819300</v>
      </c>
      <c r="P363" s="12">
        <v>292.5</v>
      </c>
      <c r="Q363" s="12">
        <v>266.25</v>
      </c>
      <c r="R363" s="12">
        <v>517.5</v>
      </c>
      <c r="S363" s="12">
        <v>153.75</v>
      </c>
      <c r="T363" s="12">
        <v>540.25</v>
      </c>
    </row>
    <row r="364" spans="1:20" ht="12.75">
      <c r="A364" s="2">
        <v>39641</v>
      </c>
      <c r="B364" s="6">
        <v>11015.1</v>
      </c>
      <c r="C364" s="3">
        <v>2</v>
      </c>
      <c r="D364" s="3">
        <v>4.18</v>
      </c>
      <c r="E364" s="6">
        <v>5261.6</v>
      </c>
      <c r="F364" s="15">
        <v>1.99</v>
      </c>
      <c r="G364" s="12">
        <v>1.251</v>
      </c>
      <c r="H364" s="11">
        <v>939.5</v>
      </c>
      <c r="I364" s="11">
        <v>143.59</v>
      </c>
      <c r="J364" s="3">
        <v>5</v>
      </c>
      <c r="K364" s="3">
        <v>3.3</v>
      </c>
      <c r="L364" s="3">
        <v>7</v>
      </c>
      <c r="M364" s="6">
        <v>4.3</v>
      </c>
      <c r="N364" s="14">
        <v>-6.1</v>
      </c>
      <c r="O364" s="5">
        <v>819300</v>
      </c>
      <c r="P364" s="12">
        <v>275.5</v>
      </c>
      <c r="Q364" s="12">
        <v>257.5</v>
      </c>
      <c r="R364" s="12">
        <v>490.5</v>
      </c>
      <c r="S364" s="12">
        <v>146.75</v>
      </c>
      <c r="T364" s="12">
        <v>538.75</v>
      </c>
    </row>
    <row r="365" spans="1:20" ht="12.75">
      <c r="A365" s="2">
        <v>39644</v>
      </c>
      <c r="B365" s="8">
        <v>11055.2</v>
      </c>
      <c r="C365" s="3">
        <v>2</v>
      </c>
      <c r="D365" s="3">
        <v>4.18</v>
      </c>
      <c r="E365" s="8">
        <v>5300.4</v>
      </c>
      <c r="F365" s="10">
        <v>1.995</v>
      </c>
      <c r="G365" s="9">
        <v>1.253</v>
      </c>
      <c r="H365" s="11">
        <v>962.75</v>
      </c>
      <c r="I365" s="11">
        <v>143.97</v>
      </c>
      <c r="J365" s="3">
        <v>5</v>
      </c>
      <c r="K365" s="3">
        <v>3.3</v>
      </c>
      <c r="L365" s="3">
        <v>7</v>
      </c>
      <c r="M365" s="6">
        <v>4.3</v>
      </c>
      <c r="N365" s="14">
        <v>-6.1</v>
      </c>
      <c r="O365" s="5">
        <v>819300</v>
      </c>
      <c r="P365" s="9">
        <v>282.25</v>
      </c>
      <c r="Q365" s="12">
        <v>257</v>
      </c>
      <c r="R365" s="9">
        <v>502</v>
      </c>
      <c r="S365" s="9">
        <v>148</v>
      </c>
      <c r="T365" s="9">
        <v>539</v>
      </c>
    </row>
    <row r="366" spans="1:20" ht="12.75">
      <c r="A366" s="2">
        <v>39645</v>
      </c>
      <c r="B366" s="6">
        <v>10962.5</v>
      </c>
      <c r="C366" s="3">
        <v>2</v>
      </c>
      <c r="D366" s="17">
        <v>5.02</v>
      </c>
      <c r="E366" s="6">
        <v>5171.9</v>
      </c>
      <c r="F366" s="10">
        <v>2.003</v>
      </c>
      <c r="G366" s="9">
        <v>1.258</v>
      </c>
      <c r="H366" s="11">
        <v>958</v>
      </c>
      <c r="I366" s="18">
        <v>139.95</v>
      </c>
      <c r="J366" s="3">
        <v>5</v>
      </c>
      <c r="K366" s="3">
        <v>3.3</v>
      </c>
      <c r="L366" s="3">
        <v>7</v>
      </c>
      <c r="M366" s="16">
        <v>4.6</v>
      </c>
      <c r="N366" s="14">
        <v>-6.1</v>
      </c>
      <c r="O366" s="5">
        <v>819300</v>
      </c>
      <c r="P366" s="12">
        <v>273</v>
      </c>
      <c r="Q366" s="9">
        <v>261</v>
      </c>
      <c r="R366" s="12">
        <v>480.5</v>
      </c>
      <c r="S366" s="12">
        <v>144.5</v>
      </c>
      <c r="T366" s="12">
        <v>524.5</v>
      </c>
    </row>
    <row r="367" spans="1:20" ht="12.75">
      <c r="A367" s="2">
        <v>39646</v>
      </c>
      <c r="B367" s="8">
        <v>11239</v>
      </c>
      <c r="C367" s="3">
        <v>2</v>
      </c>
      <c r="D367" s="3">
        <v>5.02</v>
      </c>
      <c r="E367" s="6">
        <v>5150.6</v>
      </c>
      <c r="F367" s="15">
        <v>2</v>
      </c>
      <c r="G367" s="9">
        <v>1.262</v>
      </c>
      <c r="H367" s="11">
        <v>986</v>
      </c>
      <c r="I367" s="18">
        <v>135.38</v>
      </c>
      <c r="J367" s="3">
        <v>5</v>
      </c>
      <c r="K367" s="17">
        <v>3.8</v>
      </c>
      <c r="L367" s="3">
        <v>7</v>
      </c>
      <c r="M367" s="6">
        <v>4.6</v>
      </c>
      <c r="N367" s="14">
        <v>-6.1</v>
      </c>
      <c r="O367" s="13">
        <v>840100</v>
      </c>
      <c r="P367" s="9">
        <v>284</v>
      </c>
      <c r="Q367" s="9">
        <v>264.25</v>
      </c>
      <c r="R367" s="9">
        <v>498</v>
      </c>
      <c r="S367" s="9">
        <v>146</v>
      </c>
      <c r="T367" s="12">
        <v>509.5</v>
      </c>
    </row>
    <row r="368" spans="1:20" ht="12.75">
      <c r="A368" s="2">
        <v>39647</v>
      </c>
      <c r="B368" s="8">
        <v>11446</v>
      </c>
      <c r="C368" s="3">
        <v>2</v>
      </c>
      <c r="D368" s="3">
        <v>5.02</v>
      </c>
      <c r="E368" s="8">
        <v>5286.3</v>
      </c>
      <c r="F368" s="10">
        <v>2.003</v>
      </c>
      <c r="G368" s="12">
        <v>1.262</v>
      </c>
      <c r="H368" s="18">
        <v>977.5</v>
      </c>
      <c r="I368" s="11">
        <v>137.97</v>
      </c>
      <c r="J368" s="3">
        <v>5</v>
      </c>
      <c r="K368" s="3">
        <v>3.8</v>
      </c>
      <c r="L368" s="3">
        <v>7</v>
      </c>
      <c r="M368" s="6">
        <v>4.6</v>
      </c>
      <c r="N368" s="14">
        <v>-6.1</v>
      </c>
      <c r="O368" s="5">
        <v>840100</v>
      </c>
      <c r="P368" s="9">
        <v>300.5</v>
      </c>
      <c r="Q368" s="9">
        <v>267.5</v>
      </c>
      <c r="R368" s="9">
        <v>513.5</v>
      </c>
      <c r="S368" s="9">
        <v>150</v>
      </c>
      <c r="T368" s="9">
        <v>519.75</v>
      </c>
    </row>
    <row r="369" spans="1:20" ht="12.75">
      <c r="A369" s="2">
        <v>39648</v>
      </c>
      <c r="B369" s="8">
        <v>11496.5</v>
      </c>
      <c r="C369" s="3">
        <v>2</v>
      </c>
      <c r="D369" s="3">
        <v>5.02</v>
      </c>
      <c r="E369" s="8">
        <v>5376.4</v>
      </c>
      <c r="F369" s="15">
        <v>1.998</v>
      </c>
      <c r="G369" s="12">
        <v>1.26</v>
      </c>
      <c r="H369" s="18">
        <v>965.5</v>
      </c>
      <c r="I369" s="18">
        <v>132.08</v>
      </c>
      <c r="J369" s="3">
        <v>5</v>
      </c>
      <c r="K369" s="3">
        <v>3.8</v>
      </c>
      <c r="L369" s="3">
        <v>7</v>
      </c>
      <c r="M369" s="6">
        <v>4.6</v>
      </c>
      <c r="N369" s="14">
        <v>-6.1</v>
      </c>
      <c r="O369" s="5">
        <v>840100</v>
      </c>
      <c r="P369" s="9">
        <v>331</v>
      </c>
      <c r="Q369" s="12">
        <v>266</v>
      </c>
      <c r="R369" s="9">
        <v>538</v>
      </c>
      <c r="S369" s="9">
        <v>152</v>
      </c>
      <c r="T369" s="9">
        <v>521</v>
      </c>
    </row>
    <row r="370" spans="1:20" ht="12.75">
      <c r="A370" s="2">
        <v>39651</v>
      </c>
      <c r="B370" s="6">
        <v>11467</v>
      </c>
      <c r="C370" s="3">
        <v>2</v>
      </c>
      <c r="D370" s="3">
        <v>5.02</v>
      </c>
      <c r="E370" s="8">
        <v>5404.3</v>
      </c>
      <c r="F370" s="10">
        <v>1.998</v>
      </c>
      <c r="G370" s="12">
        <v>1.259</v>
      </c>
      <c r="H370" s="18">
        <v>959.75</v>
      </c>
      <c r="I370" s="18">
        <v>131.6</v>
      </c>
      <c r="J370" s="3">
        <v>5</v>
      </c>
      <c r="K370" s="3">
        <v>3.8</v>
      </c>
      <c r="L370" s="3">
        <v>7</v>
      </c>
      <c r="M370" s="6">
        <v>4.6</v>
      </c>
      <c r="N370" s="14">
        <v>-6.1</v>
      </c>
      <c r="O370" s="5">
        <v>840100</v>
      </c>
      <c r="P370" s="12">
        <v>325.75</v>
      </c>
      <c r="Q370" s="12">
        <v>264</v>
      </c>
      <c r="R370" s="9">
        <v>548</v>
      </c>
      <c r="S370" s="12">
        <v>149.25</v>
      </c>
      <c r="T370" s="9">
        <v>521.5</v>
      </c>
    </row>
    <row r="371" spans="1:20" ht="12.75">
      <c r="A371" s="2">
        <v>39652</v>
      </c>
      <c r="B371" s="6">
        <v>11602.5</v>
      </c>
      <c r="C371" s="3">
        <v>2</v>
      </c>
      <c r="D371" s="3">
        <v>5.02</v>
      </c>
      <c r="E371" s="6">
        <v>5364.1</v>
      </c>
      <c r="F371" s="15">
        <v>1.99</v>
      </c>
      <c r="G371" s="9">
        <v>1.263</v>
      </c>
      <c r="H371" s="11">
        <v>960.5</v>
      </c>
      <c r="I371" s="18">
        <v>128.48</v>
      </c>
      <c r="J371" s="3">
        <v>5</v>
      </c>
      <c r="K371" s="3">
        <v>3.8</v>
      </c>
      <c r="L371" s="3">
        <v>7</v>
      </c>
      <c r="M371" s="6">
        <v>4.6</v>
      </c>
      <c r="N371" s="14">
        <v>-6.1</v>
      </c>
      <c r="O371" s="5">
        <v>840100</v>
      </c>
      <c r="P371" s="12">
        <v>320</v>
      </c>
      <c r="Q371" s="9">
        <v>267</v>
      </c>
      <c r="R371" s="12">
        <v>540</v>
      </c>
      <c r="S371" s="12">
        <v>129</v>
      </c>
      <c r="T371" s="9">
        <v>527.5</v>
      </c>
    </row>
    <row r="372" spans="1:20" ht="12.75">
      <c r="A372" s="2">
        <v>39653</v>
      </c>
      <c r="B372" s="8">
        <v>11632.3</v>
      </c>
      <c r="C372" s="3">
        <v>2</v>
      </c>
      <c r="D372" s="3">
        <v>5.02</v>
      </c>
      <c r="E372" s="8">
        <v>5449.9</v>
      </c>
      <c r="F372" s="10">
        <v>2.001</v>
      </c>
      <c r="G372" s="9">
        <v>1.273</v>
      </c>
      <c r="H372" s="11">
        <v>961.5</v>
      </c>
      <c r="I372" s="11">
        <v>129.24</v>
      </c>
      <c r="J372" s="3">
        <v>5</v>
      </c>
      <c r="K372" s="3">
        <v>3.8</v>
      </c>
      <c r="L372" s="3">
        <v>7</v>
      </c>
      <c r="M372" s="6">
        <v>4.6</v>
      </c>
      <c r="N372" s="14">
        <v>-6.1</v>
      </c>
      <c r="O372" s="5">
        <v>840100</v>
      </c>
      <c r="P372" s="9">
        <v>346.5</v>
      </c>
      <c r="Q372" s="9">
        <v>273.75</v>
      </c>
      <c r="R372" s="9">
        <v>571</v>
      </c>
      <c r="S372" s="9">
        <v>131.5</v>
      </c>
      <c r="T372" s="12">
        <v>521.75</v>
      </c>
    </row>
    <row r="373" spans="1:20" ht="12.75">
      <c r="A373" s="2">
        <v>39654</v>
      </c>
      <c r="B373" s="6">
        <v>11349.2</v>
      </c>
      <c r="C373" s="3">
        <v>2</v>
      </c>
      <c r="D373" s="3">
        <v>5.02</v>
      </c>
      <c r="E373" s="6">
        <v>5362.3</v>
      </c>
      <c r="F373" s="15">
        <v>1.983</v>
      </c>
      <c r="G373" s="12">
        <v>1.267</v>
      </c>
      <c r="H373" s="18">
        <v>961.5</v>
      </c>
      <c r="I373" s="18">
        <v>125.45</v>
      </c>
      <c r="J373" s="3">
        <v>5</v>
      </c>
      <c r="K373" s="3">
        <v>3.8</v>
      </c>
      <c r="L373" s="3">
        <v>7</v>
      </c>
      <c r="M373" s="6">
        <v>4.6</v>
      </c>
      <c r="N373" s="14">
        <v>-6.1</v>
      </c>
      <c r="O373" s="5">
        <v>840100</v>
      </c>
      <c r="P373" s="12">
        <v>338</v>
      </c>
      <c r="Q373" s="12">
        <v>264.75</v>
      </c>
      <c r="R373" s="12">
        <v>535.5</v>
      </c>
      <c r="S373" s="9">
        <v>133.75</v>
      </c>
      <c r="T373" s="12">
        <v>512.5</v>
      </c>
    </row>
    <row r="374" spans="1:20" ht="12.75">
      <c r="A374" s="2">
        <v>39655</v>
      </c>
      <c r="B374" s="8">
        <v>11370.6</v>
      </c>
      <c r="C374" s="3">
        <v>2</v>
      </c>
      <c r="D374" s="3">
        <v>5.02</v>
      </c>
      <c r="E374" s="6">
        <v>5352.6</v>
      </c>
      <c r="F374" s="10">
        <v>1.99</v>
      </c>
      <c r="G374" s="9">
        <v>1.268</v>
      </c>
      <c r="H374" s="18">
        <v>961.5</v>
      </c>
      <c r="I374" s="18">
        <v>125.19</v>
      </c>
      <c r="J374" s="3">
        <v>5</v>
      </c>
      <c r="K374" s="3">
        <v>3.8</v>
      </c>
      <c r="L374" s="3">
        <v>7</v>
      </c>
      <c r="M374" s="6">
        <v>4.6</v>
      </c>
      <c r="N374" s="14">
        <v>-6.1</v>
      </c>
      <c r="O374" s="5">
        <v>840100</v>
      </c>
      <c r="P374" s="12">
        <v>331.25</v>
      </c>
      <c r="Q374" s="9">
        <v>268.5</v>
      </c>
      <c r="R374" s="12">
        <v>515.5</v>
      </c>
      <c r="S374" s="12">
        <v>133</v>
      </c>
      <c r="T374" s="9">
        <v>517.5</v>
      </c>
    </row>
    <row r="375" spans="1:20" ht="12.75">
      <c r="A375" s="2">
        <v>39659</v>
      </c>
      <c r="B375" s="8">
        <v>11397.6</v>
      </c>
      <c r="C375" s="3">
        <v>2</v>
      </c>
      <c r="D375" s="3">
        <v>5.02</v>
      </c>
      <c r="E375" s="6">
        <v>5319.2</v>
      </c>
      <c r="F375" s="15">
        <v>1.98</v>
      </c>
      <c r="G375" s="9">
        <v>1.271</v>
      </c>
      <c r="H375" s="18">
        <v>923.5</v>
      </c>
      <c r="I375" s="18">
        <v>122.21</v>
      </c>
      <c r="J375" s="3">
        <v>5</v>
      </c>
      <c r="K375" s="3">
        <v>3.8</v>
      </c>
      <c r="L375" s="3">
        <v>7</v>
      </c>
      <c r="M375" s="6">
        <v>4.6</v>
      </c>
      <c r="N375" s="14">
        <v>-6.1</v>
      </c>
      <c r="O375" s="5">
        <v>840100</v>
      </c>
      <c r="P375" s="12">
        <v>321</v>
      </c>
      <c r="Q375" s="9">
        <v>269.75</v>
      </c>
      <c r="R375" s="12">
        <v>511.5</v>
      </c>
      <c r="S375" s="9">
        <v>134</v>
      </c>
      <c r="T375" s="12">
        <v>506.75</v>
      </c>
    </row>
    <row r="376" spans="1:20" ht="12.75">
      <c r="A376" s="2">
        <v>39660</v>
      </c>
      <c r="B376" s="8">
        <v>11583.6</v>
      </c>
      <c r="C376" s="3">
        <v>2</v>
      </c>
      <c r="D376" s="3">
        <v>5.02</v>
      </c>
      <c r="E376" s="8">
        <v>5420.7</v>
      </c>
      <c r="F376" s="10">
        <v>1.98</v>
      </c>
      <c r="G376" s="9">
        <v>1.272</v>
      </c>
      <c r="H376" s="18">
        <v>916.75</v>
      </c>
      <c r="I376" s="11">
        <v>123.75</v>
      </c>
      <c r="J376" s="3">
        <v>5</v>
      </c>
      <c r="K376" s="3">
        <v>3.8</v>
      </c>
      <c r="L376" s="3">
        <v>7</v>
      </c>
      <c r="M376" s="6">
        <v>4.6</v>
      </c>
      <c r="N376" s="14">
        <v>-6.1</v>
      </c>
      <c r="O376" s="5">
        <v>840100</v>
      </c>
      <c r="P376" s="12">
        <v>306</v>
      </c>
      <c r="Q376" s="12">
        <v>266</v>
      </c>
      <c r="R376" s="9">
        <v>537</v>
      </c>
      <c r="S376" s="9">
        <v>135</v>
      </c>
      <c r="T376" s="9">
        <v>511</v>
      </c>
    </row>
    <row r="377" spans="1:20" ht="12.75">
      <c r="A377" s="2">
        <v>39661</v>
      </c>
      <c r="B377" s="6">
        <v>11378.02</v>
      </c>
      <c r="C377" s="3">
        <v>2</v>
      </c>
      <c r="D377" s="3">
        <v>5.02</v>
      </c>
      <c r="E377" s="6">
        <v>5411.9</v>
      </c>
      <c r="F377" s="10">
        <v>1.981</v>
      </c>
      <c r="G377" s="12">
        <v>1.271</v>
      </c>
      <c r="H377" s="18">
        <v>897.5</v>
      </c>
      <c r="I377" s="11">
        <v>124.29</v>
      </c>
      <c r="J377" s="3">
        <v>5</v>
      </c>
      <c r="K377" s="3">
        <v>3.8</v>
      </c>
      <c r="L377" s="3">
        <v>7</v>
      </c>
      <c r="M377" s="6">
        <v>4.6</v>
      </c>
      <c r="N377" s="14">
        <v>-6.1</v>
      </c>
      <c r="O377" s="5">
        <v>840100</v>
      </c>
      <c r="P377" s="12">
        <v>295.25</v>
      </c>
      <c r="Q377" s="12">
        <v>259</v>
      </c>
      <c r="R377" s="9">
        <v>546</v>
      </c>
      <c r="S377" s="9">
        <v>136</v>
      </c>
      <c r="T377" s="9">
        <v>521.5</v>
      </c>
    </row>
    <row r="378" spans="1:20" ht="12.75">
      <c r="A378" s="2">
        <v>39665</v>
      </c>
      <c r="B378" s="6">
        <v>11284</v>
      </c>
      <c r="C378" s="3">
        <v>2</v>
      </c>
      <c r="D378" s="3">
        <v>5.02</v>
      </c>
      <c r="E378" s="6">
        <v>5320.2</v>
      </c>
      <c r="F378" s="15">
        <v>1.962</v>
      </c>
      <c r="G378" s="12">
        <v>1.259</v>
      </c>
      <c r="H378" s="18">
        <v>912.5</v>
      </c>
      <c r="I378" s="18">
        <v>120.96</v>
      </c>
      <c r="J378" s="3">
        <v>5</v>
      </c>
      <c r="K378" s="3">
        <v>3.8</v>
      </c>
      <c r="L378" s="3">
        <v>7</v>
      </c>
      <c r="M378" s="6">
        <v>4.6</v>
      </c>
      <c r="N378" s="14">
        <v>-6.1</v>
      </c>
      <c r="O378" s="5">
        <v>840100</v>
      </c>
      <c r="P378" s="12">
        <v>293.25</v>
      </c>
      <c r="Q378" s="9">
        <v>268</v>
      </c>
      <c r="R378" s="9">
        <v>547</v>
      </c>
      <c r="S378" s="9">
        <v>137</v>
      </c>
      <c r="T378" s="12">
        <v>518</v>
      </c>
    </row>
    <row r="379" spans="1:20" ht="12.75">
      <c r="A379" s="2">
        <v>39666</v>
      </c>
      <c r="B379" s="8">
        <v>11615.8</v>
      </c>
      <c r="C379" s="3">
        <v>2</v>
      </c>
      <c r="D379" s="3">
        <v>5.02</v>
      </c>
      <c r="E379" s="8">
        <v>5454.5</v>
      </c>
      <c r="F379" s="15">
        <v>1.953</v>
      </c>
      <c r="G379" s="9">
        <v>1.262</v>
      </c>
      <c r="H379" s="18">
        <v>905.75</v>
      </c>
      <c r="I379" s="18">
        <v>118.62</v>
      </c>
      <c r="J379" s="3">
        <v>5</v>
      </c>
      <c r="K379" s="3">
        <v>3.8</v>
      </c>
      <c r="L379" s="3">
        <v>7</v>
      </c>
      <c r="M379" s="6">
        <v>4.6</v>
      </c>
      <c r="N379" s="14">
        <v>-6.1</v>
      </c>
      <c r="O379" s="5">
        <v>840100</v>
      </c>
      <c r="P379" s="12">
        <v>324.5</v>
      </c>
      <c r="Q379" s="9">
        <v>277</v>
      </c>
      <c r="R379" s="9">
        <v>588</v>
      </c>
      <c r="S379" s="9">
        <v>141.5</v>
      </c>
      <c r="T379" s="12">
        <v>512</v>
      </c>
    </row>
    <row r="380" spans="1:20" ht="12.75">
      <c r="A380" s="2">
        <v>39667</v>
      </c>
      <c r="B380" s="8">
        <v>11656.07</v>
      </c>
      <c r="C380" s="3">
        <v>2</v>
      </c>
      <c r="D380" s="3">
        <v>5.02</v>
      </c>
      <c r="E380" s="8">
        <v>5486.1</v>
      </c>
      <c r="F380" s="15">
        <v>1.949</v>
      </c>
      <c r="G380" s="9">
        <v>1.265</v>
      </c>
      <c r="H380" s="18">
        <v>882</v>
      </c>
      <c r="I380" s="18">
        <v>116.78</v>
      </c>
      <c r="J380" s="3">
        <v>5</v>
      </c>
      <c r="K380" s="3">
        <v>3.8</v>
      </c>
      <c r="L380" s="3">
        <v>7</v>
      </c>
      <c r="M380" s="6">
        <v>4.6</v>
      </c>
      <c r="N380" s="14">
        <v>-6.1</v>
      </c>
      <c r="O380" s="5">
        <v>840100</v>
      </c>
      <c r="P380" s="12">
        <v>314.25</v>
      </c>
      <c r="Q380" s="9">
        <v>281.25</v>
      </c>
      <c r="R380" s="12">
        <v>582</v>
      </c>
      <c r="S380" s="12">
        <v>141.25</v>
      </c>
      <c r="T380" s="9">
        <v>521</v>
      </c>
    </row>
    <row r="381" spans="1:20" ht="12.75">
      <c r="A381" s="2">
        <v>39668</v>
      </c>
      <c r="B381" s="6">
        <v>11431.4</v>
      </c>
      <c r="C381" s="3">
        <v>2</v>
      </c>
      <c r="D381" s="3">
        <v>5.02</v>
      </c>
      <c r="E381" s="6">
        <v>5477.5</v>
      </c>
      <c r="F381" s="10">
        <v>1.945</v>
      </c>
      <c r="G381" s="9">
        <v>1.268</v>
      </c>
      <c r="H381" s="18">
        <v>879.5</v>
      </c>
      <c r="I381" s="11">
        <v>117.74</v>
      </c>
      <c r="J381" s="3">
        <v>5</v>
      </c>
      <c r="K381" s="3">
        <v>3.8</v>
      </c>
      <c r="L381" s="3">
        <v>7</v>
      </c>
      <c r="M381" s="6">
        <v>4.6</v>
      </c>
      <c r="N381" s="16">
        <v>-8.8</v>
      </c>
      <c r="O381" s="5">
        <v>840100</v>
      </c>
      <c r="P381" s="9">
        <v>318.75</v>
      </c>
      <c r="Q381" s="12">
        <v>273.25</v>
      </c>
      <c r="R381" s="12">
        <v>576</v>
      </c>
      <c r="S381" s="12">
        <v>139.25</v>
      </c>
      <c r="T381" s="9">
        <v>532</v>
      </c>
    </row>
    <row r="382" spans="1:20" ht="12.75">
      <c r="A382" s="2">
        <v>39672</v>
      </c>
      <c r="B382" s="8">
        <v>11782.4</v>
      </c>
      <c r="C382" s="3">
        <v>2</v>
      </c>
      <c r="D382" s="3">
        <v>5.02</v>
      </c>
      <c r="E382" s="8">
        <v>5541.8</v>
      </c>
      <c r="F382" s="15">
        <v>1.914</v>
      </c>
      <c r="G382" s="9">
        <v>1.281</v>
      </c>
      <c r="H382" s="18">
        <v>852.5</v>
      </c>
      <c r="I382" s="18">
        <v>111.64</v>
      </c>
      <c r="J382" s="3">
        <v>5</v>
      </c>
      <c r="K382" s="3">
        <v>3.8</v>
      </c>
      <c r="L382" s="3">
        <v>7</v>
      </c>
      <c r="M382" s="6">
        <v>4.6</v>
      </c>
      <c r="N382" s="14">
        <v>-8.8</v>
      </c>
      <c r="O382" s="5">
        <v>840100</v>
      </c>
      <c r="P382" s="9">
        <v>330.75</v>
      </c>
      <c r="Q382" s="9">
        <v>280.5</v>
      </c>
      <c r="R382" s="9">
        <v>588.5</v>
      </c>
      <c r="S382" s="9">
        <v>141.25</v>
      </c>
      <c r="T382" s="12">
        <v>525</v>
      </c>
    </row>
    <row r="383" spans="1:20" ht="12.75">
      <c r="A383" s="2">
        <v>39673</v>
      </c>
      <c r="B383" s="6">
        <v>11642</v>
      </c>
      <c r="C383" s="3">
        <v>2</v>
      </c>
      <c r="D383" s="3">
        <v>5.02</v>
      </c>
      <c r="E383" s="8">
        <v>5534.5</v>
      </c>
      <c r="F383" s="15">
        <v>1.901</v>
      </c>
      <c r="G383" s="12">
        <v>1.275</v>
      </c>
      <c r="H383" s="18">
        <v>815</v>
      </c>
      <c r="I383" s="18">
        <v>111.64</v>
      </c>
      <c r="J383" s="3">
        <v>5</v>
      </c>
      <c r="K383" s="3">
        <v>3.8</v>
      </c>
      <c r="L383" s="3">
        <v>7</v>
      </c>
      <c r="M383" s="16">
        <v>5</v>
      </c>
      <c r="N383" s="14">
        <v>-8.8</v>
      </c>
      <c r="O383" s="5">
        <v>840100</v>
      </c>
      <c r="P383" s="12">
        <v>329</v>
      </c>
      <c r="Q383" s="9">
        <v>280.75</v>
      </c>
      <c r="R383" s="12">
        <v>588.5</v>
      </c>
      <c r="S383" s="9">
        <v>142.25</v>
      </c>
      <c r="T383" s="9">
        <v>535</v>
      </c>
    </row>
    <row r="384" spans="1:20" ht="12.75">
      <c r="A384" s="2">
        <v>39674</v>
      </c>
      <c r="B384" s="6">
        <v>11532</v>
      </c>
      <c r="C384" s="3">
        <v>2</v>
      </c>
      <c r="D384" s="3">
        <v>5.02</v>
      </c>
      <c r="E384" s="6">
        <v>5448.6</v>
      </c>
      <c r="F384" s="15">
        <v>1.871</v>
      </c>
      <c r="G384" s="12">
        <v>1.254</v>
      </c>
      <c r="H384" s="11">
        <v>817.75</v>
      </c>
      <c r="I384" s="11">
        <v>113.1</v>
      </c>
      <c r="J384" s="3">
        <v>5</v>
      </c>
      <c r="K384" s="3">
        <v>3.8</v>
      </c>
      <c r="L384" s="3">
        <v>7</v>
      </c>
      <c r="M384" s="6">
        <v>5</v>
      </c>
      <c r="N384" s="14">
        <v>-8.8</v>
      </c>
      <c r="O384" s="13">
        <v>864700</v>
      </c>
      <c r="P384" s="12">
        <v>308.5</v>
      </c>
      <c r="Q384" s="12">
        <v>274</v>
      </c>
      <c r="R384" s="12">
        <v>549</v>
      </c>
      <c r="S384" s="12">
        <v>140</v>
      </c>
      <c r="T384" s="12">
        <v>524.5</v>
      </c>
    </row>
    <row r="385" spans="1:20" ht="12.75">
      <c r="A385" s="2">
        <v>39675</v>
      </c>
      <c r="B385" s="8">
        <v>11616</v>
      </c>
      <c r="C385" s="3">
        <v>2</v>
      </c>
      <c r="D385" s="3">
        <v>5.02</v>
      </c>
      <c r="E385" s="8">
        <v>5497.4</v>
      </c>
      <c r="F385" s="15">
        <v>1.87</v>
      </c>
      <c r="G385" s="9">
        <v>1.261</v>
      </c>
      <c r="H385" s="11">
        <v>818.5</v>
      </c>
      <c r="I385" s="18">
        <v>112.38</v>
      </c>
      <c r="J385" s="3">
        <v>5</v>
      </c>
      <c r="K385" s="3">
        <v>3.8</v>
      </c>
      <c r="L385" s="3">
        <v>7</v>
      </c>
      <c r="M385" s="6">
        <v>5</v>
      </c>
      <c r="N385" s="14">
        <v>-8.8</v>
      </c>
      <c r="O385" s="5">
        <v>864700</v>
      </c>
      <c r="P385" s="12">
        <v>306.25</v>
      </c>
      <c r="Q385" s="9">
        <v>278.5</v>
      </c>
      <c r="R385" s="9">
        <v>554</v>
      </c>
      <c r="S385" s="12">
        <v>140</v>
      </c>
      <c r="T385" s="9">
        <v>527</v>
      </c>
    </row>
    <row r="386" spans="1:20" ht="12.75">
      <c r="A386" s="2">
        <v>39676</v>
      </c>
      <c r="B386" s="6">
        <v>11019.4</v>
      </c>
      <c r="C386" s="3">
        <v>2</v>
      </c>
      <c r="D386" s="17">
        <v>5.6</v>
      </c>
      <c r="E386" s="6">
        <v>5454.8</v>
      </c>
      <c r="F386" s="15">
        <v>1.865</v>
      </c>
      <c r="G386" s="9">
        <v>1.27</v>
      </c>
      <c r="H386" s="18">
        <v>818</v>
      </c>
      <c r="I386" s="18">
        <v>111.17</v>
      </c>
      <c r="J386" s="3">
        <v>5</v>
      </c>
      <c r="K386" s="17">
        <v>4.4</v>
      </c>
      <c r="L386" s="3">
        <v>7</v>
      </c>
      <c r="M386" s="6">
        <v>5</v>
      </c>
      <c r="N386" s="14">
        <v>-8.8</v>
      </c>
      <c r="O386" s="5">
        <v>864700</v>
      </c>
      <c r="P386" s="12">
        <v>312</v>
      </c>
      <c r="Q386" s="9">
        <v>281.25</v>
      </c>
      <c r="R386" s="9">
        <v>559</v>
      </c>
      <c r="S386">
        <v>139.75</v>
      </c>
      <c r="T386" s="12">
        <v>515.5</v>
      </c>
    </row>
    <row r="387" spans="1:20" ht="12.75">
      <c r="A387" s="2">
        <v>39679</v>
      </c>
      <c r="B387" s="8">
        <v>11479.4</v>
      </c>
      <c r="C387" s="3">
        <v>2</v>
      </c>
      <c r="D387" s="3">
        <v>5.6</v>
      </c>
      <c r="E387" s="6">
        <v>5450.2</v>
      </c>
      <c r="F387" s="10">
        <v>1.869</v>
      </c>
      <c r="G387" s="9">
        <v>1.268</v>
      </c>
      <c r="H387" s="18">
        <v>800.5</v>
      </c>
      <c r="I387" s="11">
        <v>112.71</v>
      </c>
      <c r="J387" s="3">
        <v>5</v>
      </c>
      <c r="K387" s="3">
        <v>4.4</v>
      </c>
      <c r="L387" s="3">
        <v>7</v>
      </c>
      <c r="M387" s="6">
        <v>5</v>
      </c>
      <c r="N387" s="14">
        <v>-8.8</v>
      </c>
      <c r="O387" s="5">
        <v>864700</v>
      </c>
      <c r="P387" s="12">
        <v>306</v>
      </c>
      <c r="Q387" s="12">
        <v>281.25</v>
      </c>
      <c r="R387" s="12">
        <v>550</v>
      </c>
      <c r="S387">
        <v>139.75</v>
      </c>
      <c r="T387" s="12">
        <v>514.5</v>
      </c>
    </row>
    <row r="388" spans="1:20" ht="12.75">
      <c r="A388" s="2">
        <v>39680</v>
      </c>
      <c r="B388" s="6">
        <v>11348.55</v>
      </c>
      <c r="C388" s="3">
        <v>2</v>
      </c>
      <c r="D388" s="3">
        <v>5.6</v>
      </c>
      <c r="E388" s="6">
        <v>5320.4</v>
      </c>
      <c r="F388" s="15">
        <v>1.865</v>
      </c>
      <c r="G388" s="12">
        <v>1.263</v>
      </c>
      <c r="H388" s="11">
        <v>811</v>
      </c>
      <c r="I388" s="18">
        <v>112.02</v>
      </c>
      <c r="J388" s="3">
        <v>5</v>
      </c>
      <c r="K388" s="3">
        <v>4.4</v>
      </c>
      <c r="L388" s="3">
        <v>7</v>
      </c>
      <c r="M388" s="6">
        <v>5</v>
      </c>
      <c r="N388" s="14">
        <v>-8.8</v>
      </c>
      <c r="O388" s="5">
        <v>864700</v>
      </c>
      <c r="P388" s="12">
        <v>288.25</v>
      </c>
      <c r="Q388" s="12">
        <v>278.5</v>
      </c>
      <c r="R388" s="12">
        <v>512.5</v>
      </c>
      <c r="S388">
        <v>136.25</v>
      </c>
      <c r="T388" s="9">
        <v>507</v>
      </c>
    </row>
    <row r="389" spans="1:20" ht="12.75">
      <c r="A389" s="2">
        <v>39681</v>
      </c>
      <c r="B389" s="8">
        <v>11417.43</v>
      </c>
      <c r="C389" s="3">
        <v>2</v>
      </c>
      <c r="D389" s="3">
        <v>5.6</v>
      </c>
      <c r="E389" s="8">
        <v>5371.8</v>
      </c>
      <c r="F389" s="15">
        <v>1.861</v>
      </c>
      <c r="G389" s="9">
        <v>1.265</v>
      </c>
      <c r="H389" s="18">
        <v>810.1</v>
      </c>
      <c r="I389" s="18">
        <v>111.96</v>
      </c>
      <c r="J389" s="3">
        <v>5</v>
      </c>
      <c r="K389" s="3">
        <v>4.4</v>
      </c>
      <c r="L389" s="3">
        <v>7</v>
      </c>
      <c r="M389" s="6">
        <v>5</v>
      </c>
      <c r="N389" s="14">
        <v>-8.8</v>
      </c>
      <c r="O389" s="5">
        <v>864700</v>
      </c>
      <c r="P389" s="9">
        <v>290.25</v>
      </c>
      <c r="Q389" s="12">
        <v>274.75</v>
      </c>
      <c r="R389" s="9">
        <v>521</v>
      </c>
      <c r="S389" s="12">
        <v>135.75</v>
      </c>
      <c r="T389" s="9">
        <v>510.75</v>
      </c>
    </row>
    <row r="390" spans="1:20" ht="12.75">
      <c r="A390" s="2">
        <v>39682</v>
      </c>
      <c r="B390" s="8">
        <v>11430.21</v>
      </c>
      <c r="C390" s="3">
        <v>2</v>
      </c>
      <c r="D390" s="3">
        <v>5.6</v>
      </c>
      <c r="E390" s="6">
        <v>5370.2</v>
      </c>
      <c r="F390" s="15">
        <v>1.875</v>
      </c>
      <c r="G390" s="12">
        <v>1.261</v>
      </c>
      <c r="H390" s="18">
        <v>832.2</v>
      </c>
      <c r="I390" s="11">
        <v>119.66</v>
      </c>
      <c r="J390" s="3">
        <v>5</v>
      </c>
      <c r="K390" s="3">
        <v>4.4</v>
      </c>
      <c r="L390" s="3">
        <v>7</v>
      </c>
      <c r="M390" s="6">
        <v>5</v>
      </c>
      <c r="N390" s="14">
        <v>-8.8</v>
      </c>
      <c r="O390" s="5">
        <v>864700</v>
      </c>
      <c r="P390" s="12">
        <v>280</v>
      </c>
      <c r="Q390" s="12">
        <v>273</v>
      </c>
      <c r="R390" s="12">
        <v>506.5</v>
      </c>
      <c r="S390" s="12">
        <v>134.75</v>
      </c>
      <c r="T390" s="9">
        <v>517</v>
      </c>
    </row>
    <row r="391" spans="1:20" ht="12.75">
      <c r="A391" s="2">
        <v>39683</v>
      </c>
      <c r="B391" s="8">
        <v>11628.06</v>
      </c>
      <c r="C391" s="3">
        <v>2</v>
      </c>
      <c r="D391" s="3">
        <v>5.6</v>
      </c>
      <c r="E391" s="8">
        <v>5505.6</v>
      </c>
      <c r="F391" s="15">
        <v>1.855</v>
      </c>
      <c r="G391" s="12">
        <v>1.253</v>
      </c>
      <c r="H391" s="18">
        <v>826</v>
      </c>
      <c r="I391" s="18">
        <v>117.02</v>
      </c>
      <c r="J391" s="3">
        <v>5</v>
      </c>
      <c r="K391" s="3">
        <v>4.4</v>
      </c>
      <c r="L391" s="3">
        <v>7</v>
      </c>
      <c r="M391" s="6">
        <v>5</v>
      </c>
      <c r="N391" s="14">
        <v>-8.8</v>
      </c>
      <c r="O391" s="5">
        <v>864700</v>
      </c>
      <c r="P391" s="9">
        <v>299.5</v>
      </c>
      <c r="Q391" s="9">
        <v>280.25</v>
      </c>
      <c r="R391" s="9">
        <v>537</v>
      </c>
      <c r="S391" s="9">
        <v>140</v>
      </c>
      <c r="T391" s="9">
        <v>519.25</v>
      </c>
    </row>
    <row r="392" spans="1:20" ht="12.75">
      <c r="A392" s="2">
        <v>39687</v>
      </c>
      <c r="B392" s="6">
        <v>11412.71</v>
      </c>
      <c r="C392" s="3">
        <v>2</v>
      </c>
      <c r="D392" s="3">
        <v>5.6</v>
      </c>
      <c r="E392" s="6">
        <v>5470.7</v>
      </c>
      <c r="F392" s="15">
        <v>1.836</v>
      </c>
      <c r="G392" s="12">
        <v>1.254</v>
      </c>
      <c r="H392" s="18">
        <v>826</v>
      </c>
      <c r="I392" s="18">
        <v>114.64</v>
      </c>
      <c r="J392" s="3">
        <v>5</v>
      </c>
      <c r="K392" s="3">
        <v>4.4</v>
      </c>
      <c r="L392" s="3">
        <v>7</v>
      </c>
      <c r="M392" s="6">
        <v>5</v>
      </c>
      <c r="N392" s="14">
        <v>-8.8</v>
      </c>
      <c r="O392" s="5">
        <v>864700</v>
      </c>
      <c r="P392" s="12">
        <v>292</v>
      </c>
      <c r="Q392" s="12">
        <v>279</v>
      </c>
      <c r="R392" s="9">
        <v>539.5</v>
      </c>
      <c r="S392" s="12">
        <v>138</v>
      </c>
      <c r="T392" s="12">
        <v>516.25</v>
      </c>
    </row>
    <row r="393" spans="1:20" ht="12.75">
      <c r="A393" s="2">
        <v>39688</v>
      </c>
      <c r="B393" s="8">
        <v>11502.51</v>
      </c>
      <c r="C393" s="3">
        <v>2</v>
      </c>
      <c r="D393" s="3">
        <v>5.6</v>
      </c>
      <c r="E393" s="8">
        <v>5528.1</v>
      </c>
      <c r="F393" s="15">
        <v>1.831</v>
      </c>
      <c r="G393" s="12">
        <v>1.247</v>
      </c>
      <c r="H393" s="18">
        <v>825.9</v>
      </c>
      <c r="I393" s="11">
        <v>115.93</v>
      </c>
      <c r="J393" s="3">
        <v>5</v>
      </c>
      <c r="K393" s="3">
        <v>4.4</v>
      </c>
      <c r="L393" s="3">
        <v>7</v>
      </c>
      <c r="M393" s="6">
        <v>5</v>
      </c>
      <c r="N393" s="14">
        <v>-8.8</v>
      </c>
      <c r="O393" s="5">
        <v>864700</v>
      </c>
      <c r="P393" s="9">
        <v>295.5</v>
      </c>
      <c r="Q393" s="12">
        <v>277.25</v>
      </c>
      <c r="R393" s="12">
        <v>539</v>
      </c>
      <c r="S393" s="9">
        <v>141.5</v>
      </c>
      <c r="T393" s="9">
        <v>525.75</v>
      </c>
    </row>
    <row r="394" spans="1:20" ht="12.75">
      <c r="A394" s="2">
        <v>39689</v>
      </c>
      <c r="B394" s="8">
        <v>11715.18</v>
      </c>
      <c r="C394" s="3">
        <v>2</v>
      </c>
      <c r="D394" s="3">
        <v>5.6</v>
      </c>
      <c r="E394" s="8">
        <v>5601.2</v>
      </c>
      <c r="F394" s="15">
        <v>1.827</v>
      </c>
      <c r="G394" s="12">
        <v>1.243</v>
      </c>
      <c r="H394" s="11">
        <v>829.9</v>
      </c>
      <c r="I394" s="18">
        <v>113.86</v>
      </c>
      <c r="J394" s="3">
        <v>5</v>
      </c>
      <c r="K394" s="3">
        <v>4.4</v>
      </c>
      <c r="L394" s="3">
        <v>7</v>
      </c>
      <c r="M394" s="6">
        <v>5</v>
      </c>
      <c r="N394" s="14">
        <v>-8.8</v>
      </c>
      <c r="O394" s="5">
        <v>864700</v>
      </c>
      <c r="P394" s="9">
        <v>305.5</v>
      </c>
      <c r="Q394" s="9">
        <v>279.25</v>
      </c>
      <c r="R394" s="9">
        <v>554.5</v>
      </c>
      <c r="S394" s="9">
        <v>142.75</v>
      </c>
      <c r="T394" s="12">
        <v>522.25</v>
      </c>
    </row>
    <row r="395" spans="1:20" ht="12.75">
      <c r="A395" s="2">
        <v>39690</v>
      </c>
      <c r="B395" s="6">
        <v>11543.9</v>
      </c>
      <c r="C395" s="3">
        <v>2</v>
      </c>
      <c r="D395" s="3">
        <v>5.6</v>
      </c>
      <c r="E395" s="8">
        <v>5636.6</v>
      </c>
      <c r="F395" s="15">
        <v>1.821</v>
      </c>
      <c r="G395" s="12">
        <v>1.241</v>
      </c>
      <c r="H395" s="11">
        <v>838.25</v>
      </c>
      <c r="I395" s="11">
        <v>115.23</v>
      </c>
      <c r="J395" s="3">
        <v>5</v>
      </c>
      <c r="K395" s="3">
        <v>4.4</v>
      </c>
      <c r="L395" s="3">
        <v>7</v>
      </c>
      <c r="M395" s="6">
        <v>5</v>
      </c>
      <c r="N395" s="14">
        <v>-8.8</v>
      </c>
      <c r="O395" s="5">
        <v>864700</v>
      </c>
      <c r="P395" s="9">
        <v>303.75</v>
      </c>
      <c r="Q395" s="9">
        <v>282.5</v>
      </c>
      <c r="R395" s="12">
        <v>548</v>
      </c>
      <c r="S395" s="12">
        <v>141</v>
      </c>
      <c r="T395" s="9">
        <v>528.75</v>
      </c>
    </row>
    <row r="396" spans="1:20" ht="12.75">
      <c r="A396" s="2">
        <v>39693</v>
      </c>
      <c r="B396" s="6"/>
      <c r="C396" s="3">
        <v>2</v>
      </c>
      <c r="D396" s="3">
        <v>5.6</v>
      </c>
      <c r="E396" s="6">
        <v>5602.8</v>
      </c>
      <c r="F396" s="15">
        <v>1.801</v>
      </c>
      <c r="G396" s="12">
        <v>1.234</v>
      </c>
      <c r="H396" s="18">
        <v>818.6</v>
      </c>
      <c r="I396" s="18">
        <v>110.11</v>
      </c>
      <c r="J396" s="3">
        <v>5</v>
      </c>
      <c r="K396" s="3">
        <v>4.4</v>
      </c>
      <c r="L396" s="3">
        <v>7</v>
      </c>
      <c r="M396" s="6">
        <v>5</v>
      </c>
      <c r="N396" s="14">
        <v>-8.8</v>
      </c>
      <c r="O396" s="5">
        <v>864700</v>
      </c>
      <c r="P396" s="9">
        <v>307.5</v>
      </c>
      <c r="Q396" s="9">
        <v>285.25</v>
      </c>
      <c r="R396" s="9">
        <v>550.5</v>
      </c>
      <c r="S396" s="12">
        <v>140.5</v>
      </c>
      <c r="T396" s="12">
        <v>521</v>
      </c>
    </row>
    <row r="397" spans="1:20" ht="12.75">
      <c r="A397" s="2">
        <v>39694</v>
      </c>
      <c r="B397" s="6">
        <v>11516</v>
      </c>
      <c r="C397" s="3">
        <v>2</v>
      </c>
      <c r="D397" s="3">
        <v>5.6</v>
      </c>
      <c r="E397" s="6">
        <v>5620.7</v>
      </c>
      <c r="F397" s="15">
        <v>1.782</v>
      </c>
      <c r="G397" s="12">
        <v>1.227</v>
      </c>
      <c r="H397" s="18">
        <v>806.9</v>
      </c>
      <c r="I397" s="18">
        <v>107.69</v>
      </c>
      <c r="J397" s="3">
        <v>5</v>
      </c>
      <c r="K397" s="3">
        <v>4.4</v>
      </c>
      <c r="L397" s="3">
        <v>7</v>
      </c>
      <c r="M397" s="6">
        <v>5</v>
      </c>
      <c r="N397" s="14">
        <v>-8.8</v>
      </c>
      <c r="O397" s="5">
        <v>864700</v>
      </c>
      <c r="P397" s="9">
        <v>311</v>
      </c>
      <c r="Q397" s="9">
        <v>290</v>
      </c>
      <c r="R397" s="9">
        <v>578</v>
      </c>
      <c r="S397" s="9">
        <v>144.25</v>
      </c>
      <c r="T397" s="12">
        <v>511.5</v>
      </c>
    </row>
    <row r="398" spans="1:20" ht="12.75">
      <c r="A398" s="2">
        <v>39695</v>
      </c>
      <c r="B398" s="8">
        <v>11532.88</v>
      </c>
      <c r="C398" s="3">
        <v>2</v>
      </c>
      <c r="D398" s="3">
        <v>5.6</v>
      </c>
      <c r="E398" s="6">
        <v>5499.7</v>
      </c>
      <c r="F398" s="15">
        <v>1.777</v>
      </c>
      <c r="G398" s="12">
        <v>1.227</v>
      </c>
      <c r="H398" s="18">
        <v>803.7</v>
      </c>
      <c r="I398" s="18">
        <v>106.91</v>
      </c>
      <c r="J398" s="3">
        <v>5</v>
      </c>
      <c r="K398" s="3">
        <v>4.4</v>
      </c>
      <c r="L398" s="3">
        <v>7</v>
      </c>
      <c r="M398" s="6">
        <v>5</v>
      </c>
      <c r="N398" s="14">
        <v>-8.8</v>
      </c>
      <c r="O398" s="5">
        <v>864700</v>
      </c>
      <c r="P398" s="12">
        <v>303.5</v>
      </c>
      <c r="Q398" s="12">
        <v>284.5</v>
      </c>
      <c r="R398" s="12">
        <v>555.5</v>
      </c>
      <c r="S398" s="12">
        <v>141.5</v>
      </c>
      <c r="T398" s="12">
        <v>506</v>
      </c>
    </row>
    <row r="399" spans="1:20" ht="12.75">
      <c r="A399" s="2">
        <v>39696</v>
      </c>
      <c r="B399" s="6">
        <v>11188.23</v>
      </c>
      <c r="C399" s="3">
        <v>2</v>
      </c>
      <c r="D399" s="3">
        <v>5.6</v>
      </c>
      <c r="E399" s="6">
        <v>5362.1</v>
      </c>
      <c r="F399" s="15">
        <v>1.772</v>
      </c>
      <c r="G399" s="9">
        <v>1.234</v>
      </c>
      <c r="H399" s="18">
        <v>799.3</v>
      </c>
      <c r="I399" s="18">
        <v>105.94</v>
      </c>
      <c r="J399" s="3">
        <v>5</v>
      </c>
      <c r="K399" s="3">
        <v>4.4</v>
      </c>
      <c r="L399" s="3">
        <v>7</v>
      </c>
      <c r="M399" s="6">
        <v>5</v>
      </c>
      <c r="N399" s="16">
        <v>-10.9</v>
      </c>
      <c r="O399" s="5">
        <v>864700</v>
      </c>
      <c r="P399" s="12">
        <v>286.25</v>
      </c>
      <c r="Q399" s="12">
        <v>279.25</v>
      </c>
      <c r="R399" s="12">
        <v>526.5</v>
      </c>
      <c r="S399" s="12">
        <v>138</v>
      </c>
      <c r="T399" s="12">
        <v>505.5</v>
      </c>
    </row>
    <row r="400" spans="1:20" ht="12.75">
      <c r="A400" s="2">
        <v>39697</v>
      </c>
      <c r="B400" s="8">
        <v>11220.96</v>
      </c>
      <c r="C400" s="3">
        <v>2</v>
      </c>
      <c r="D400" s="3">
        <v>5.6</v>
      </c>
      <c r="E400" s="6">
        <v>5240.7</v>
      </c>
      <c r="F400" s="15">
        <v>1.763</v>
      </c>
      <c r="G400" s="9">
        <v>1.237</v>
      </c>
      <c r="H400" s="18">
        <v>796.7</v>
      </c>
      <c r="I400" s="18">
        <v>103.82</v>
      </c>
      <c r="J400" s="3">
        <v>5</v>
      </c>
      <c r="K400" s="3">
        <v>4.4</v>
      </c>
      <c r="L400" s="3">
        <v>7</v>
      </c>
      <c r="M400" s="6">
        <v>5</v>
      </c>
      <c r="N400" s="14">
        <v>-10.9</v>
      </c>
      <c r="O400" s="5">
        <v>864700</v>
      </c>
      <c r="P400" s="12">
        <v>279</v>
      </c>
      <c r="Q400" s="12">
        <v>271.25</v>
      </c>
      <c r="R400" s="12">
        <v>517.5</v>
      </c>
      <c r="S400" s="12">
        <v>131.75</v>
      </c>
      <c r="T400" s="12">
        <v>499.25</v>
      </c>
    </row>
    <row r="401" spans="1:20" ht="12.75">
      <c r="A401" s="2">
        <v>39700</v>
      </c>
      <c r="B401" s="8">
        <v>11510.74</v>
      </c>
      <c r="C401" s="3">
        <v>2</v>
      </c>
      <c r="D401" s="3">
        <v>5.6</v>
      </c>
      <c r="E401" s="8">
        <v>5446.3</v>
      </c>
      <c r="F401" s="15">
        <v>1.757</v>
      </c>
      <c r="G401" s="9">
        <v>1.243</v>
      </c>
      <c r="H401" s="11">
        <v>798.6</v>
      </c>
      <c r="I401" s="18">
        <v>103.38</v>
      </c>
      <c r="J401" s="3">
        <v>5</v>
      </c>
      <c r="K401" s="3">
        <v>4.4</v>
      </c>
      <c r="L401" s="3">
        <v>7</v>
      </c>
      <c r="M401" s="6">
        <v>5</v>
      </c>
      <c r="N401" s="14">
        <v>-10.9</v>
      </c>
      <c r="O401" s="5">
        <v>864700</v>
      </c>
      <c r="P401" s="9">
        <v>310</v>
      </c>
      <c r="Q401" s="9">
        <v>277.25</v>
      </c>
      <c r="R401" s="9">
        <v>580</v>
      </c>
      <c r="S401" s="9">
        <v>135.75</v>
      </c>
      <c r="T401" s="9">
        <v>517</v>
      </c>
    </row>
    <row r="402" spans="1:20" ht="12.75">
      <c r="A402" s="2">
        <v>39701</v>
      </c>
      <c r="B402" s="6">
        <v>11230.73</v>
      </c>
      <c r="C402" s="3">
        <v>2</v>
      </c>
      <c r="D402" s="3">
        <v>5.6</v>
      </c>
      <c r="E402" s="6">
        <v>5415.6</v>
      </c>
      <c r="F402" s="10">
        <v>1.768</v>
      </c>
      <c r="G402" s="9">
        <v>1.245</v>
      </c>
      <c r="H402" s="18">
        <v>788.1</v>
      </c>
      <c r="I402" s="18">
        <v>100.83</v>
      </c>
      <c r="J402" s="3">
        <v>5</v>
      </c>
      <c r="K402" s="3">
        <v>4.4</v>
      </c>
      <c r="L402" s="3">
        <v>7</v>
      </c>
      <c r="M402" s="6">
        <v>5</v>
      </c>
      <c r="N402" s="14">
        <v>-10.9</v>
      </c>
      <c r="O402" s="5">
        <v>864700</v>
      </c>
      <c r="P402" s="12">
        <v>307.75</v>
      </c>
      <c r="Q402" s="12">
        <v>277</v>
      </c>
      <c r="R402" s="12">
        <v>576.5</v>
      </c>
      <c r="S402" s="9">
        <v>137</v>
      </c>
      <c r="T402" s="12">
        <v>507.25</v>
      </c>
    </row>
    <row r="403" spans="1:20" ht="12.75">
      <c r="A403" s="2">
        <v>39702</v>
      </c>
      <c r="B403" s="8">
        <v>11268.9</v>
      </c>
      <c r="C403" s="3">
        <v>2</v>
      </c>
      <c r="D403" s="3">
        <v>5.6</v>
      </c>
      <c r="E403" s="6">
        <v>5366.2</v>
      </c>
      <c r="F403" s="15">
        <v>1.757</v>
      </c>
      <c r="G403" s="9">
        <v>1.252</v>
      </c>
      <c r="H403" s="18">
        <v>762</v>
      </c>
      <c r="I403" s="18">
        <v>99.05</v>
      </c>
      <c r="J403" s="3">
        <v>5</v>
      </c>
      <c r="K403" s="3">
        <v>4.4</v>
      </c>
      <c r="L403" s="3">
        <v>7</v>
      </c>
      <c r="M403" s="6">
        <v>5</v>
      </c>
      <c r="N403" s="14">
        <v>-10.9</v>
      </c>
      <c r="O403" s="5">
        <v>864700</v>
      </c>
      <c r="P403" s="12">
        <v>295</v>
      </c>
      <c r="Q403" s="12">
        <v>270.25</v>
      </c>
      <c r="R403" s="12">
        <v>572.5</v>
      </c>
      <c r="S403" s="12">
        <v>136.25</v>
      </c>
      <c r="T403" s="12">
        <v>502</v>
      </c>
    </row>
    <row r="404" spans="1:20" ht="12.75">
      <c r="A404" s="2">
        <v>39703</v>
      </c>
      <c r="B404" s="8">
        <v>11433.7</v>
      </c>
      <c r="C404" s="3">
        <v>2</v>
      </c>
      <c r="D404" s="3">
        <v>5.6</v>
      </c>
      <c r="E404" s="6">
        <v>5318.4</v>
      </c>
      <c r="F404" s="15">
        <v>1.751</v>
      </c>
      <c r="G404" s="9">
        <v>1.256</v>
      </c>
      <c r="H404" s="18">
        <v>742.5</v>
      </c>
      <c r="I404" s="11">
        <v>98.29</v>
      </c>
      <c r="J404" s="3">
        <v>5</v>
      </c>
      <c r="K404" s="3">
        <v>4.4</v>
      </c>
      <c r="L404" s="3">
        <v>7</v>
      </c>
      <c r="M404" s="6">
        <v>5</v>
      </c>
      <c r="N404" s="14">
        <v>-10.9</v>
      </c>
      <c r="O404" s="5">
        <v>864700</v>
      </c>
      <c r="P404" s="12">
        <v>283</v>
      </c>
      <c r="Q404" s="12">
        <v>253.75</v>
      </c>
      <c r="R404" s="12">
        <v>553.5</v>
      </c>
      <c r="S404" s="12">
        <v>134.25</v>
      </c>
      <c r="T404" s="12">
        <v>502</v>
      </c>
    </row>
    <row r="405" spans="1:20" ht="12.75">
      <c r="A405" s="2">
        <v>39704</v>
      </c>
      <c r="B405" s="6">
        <v>11421.9</v>
      </c>
      <c r="C405" s="3">
        <v>2</v>
      </c>
      <c r="D405" s="3">
        <v>5.6</v>
      </c>
      <c r="E405" s="8">
        <v>5416.7</v>
      </c>
      <c r="F405" s="10">
        <v>1.788</v>
      </c>
      <c r="G405" s="9">
        <v>1.263</v>
      </c>
      <c r="H405" s="11">
        <v>755.7</v>
      </c>
      <c r="I405" s="18">
        <v>97.84</v>
      </c>
      <c r="J405" s="3">
        <v>5</v>
      </c>
      <c r="K405" s="3">
        <v>4.4</v>
      </c>
      <c r="L405" s="3">
        <v>7</v>
      </c>
      <c r="M405" s="6">
        <v>5</v>
      </c>
      <c r="N405" s="14">
        <v>-10.9</v>
      </c>
      <c r="O405" s="5">
        <v>864700</v>
      </c>
      <c r="P405" s="9">
        <v>289.5</v>
      </c>
      <c r="Q405" s="9">
        <v>259.5</v>
      </c>
      <c r="R405" s="12">
        <v>551</v>
      </c>
      <c r="S405" s="9">
        <v>137</v>
      </c>
      <c r="T405" s="9">
        <v>510</v>
      </c>
    </row>
    <row r="406" spans="1:20" ht="12.75">
      <c r="A406" s="2">
        <v>39707</v>
      </c>
      <c r="B406" s="6">
        <v>10917.51</v>
      </c>
      <c r="C406" s="3">
        <v>2</v>
      </c>
      <c r="D406" s="3">
        <v>5.6</v>
      </c>
      <c r="E406" s="6">
        <v>5204.2</v>
      </c>
      <c r="F406" s="15">
        <v>1.788</v>
      </c>
      <c r="G406" s="12">
        <v>1.26</v>
      </c>
      <c r="H406" s="11">
        <v>780.6</v>
      </c>
      <c r="I406" s="18">
        <v>95.3</v>
      </c>
      <c r="J406" s="3">
        <v>5</v>
      </c>
      <c r="K406" s="3">
        <v>4.4</v>
      </c>
      <c r="L406" s="3">
        <v>7</v>
      </c>
      <c r="M406" s="6">
        <v>5</v>
      </c>
      <c r="N406" s="14">
        <v>-10.9</v>
      </c>
      <c r="O406" s="5">
        <v>864700</v>
      </c>
      <c r="P406" s="12">
        <v>273.75</v>
      </c>
      <c r="Q406" s="12">
        <v>253.75</v>
      </c>
      <c r="R406" s="12">
        <v>500</v>
      </c>
      <c r="S406" s="12">
        <v>130.75</v>
      </c>
      <c r="T406" s="12">
        <v>491.5</v>
      </c>
    </row>
    <row r="407" spans="1:20" ht="12.75">
      <c r="A407" s="2">
        <v>39708</v>
      </c>
      <c r="B407" s="8">
        <v>11059.02</v>
      </c>
      <c r="C407" s="3">
        <v>2</v>
      </c>
      <c r="D407" s="17">
        <v>5.37</v>
      </c>
      <c r="E407" s="6">
        <v>5025.6</v>
      </c>
      <c r="F407" s="15">
        <v>1.781</v>
      </c>
      <c r="G407" s="12">
        <v>1.259</v>
      </c>
      <c r="H407" s="18">
        <v>777</v>
      </c>
      <c r="I407" s="18">
        <v>90.24</v>
      </c>
      <c r="J407" s="3">
        <v>5</v>
      </c>
      <c r="K407" s="17">
        <v>4.7</v>
      </c>
      <c r="L407" s="3">
        <v>7</v>
      </c>
      <c r="M407" s="6">
        <v>5</v>
      </c>
      <c r="N407" s="14">
        <v>-10.9</v>
      </c>
      <c r="O407" s="5">
        <v>864700</v>
      </c>
      <c r="P407" s="9">
        <v>279.75</v>
      </c>
      <c r="Q407" s="12">
        <v>246.5</v>
      </c>
      <c r="R407" s="12">
        <v>486.75</v>
      </c>
      <c r="S407" s="12">
        <v>127</v>
      </c>
      <c r="T407" s="12">
        <v>476</v>
      </c>
    </row>
    <row r="408" spans="1:20" ht="12.75">
      <c r="A408" s="2">
        <v>39709</v>
      </c>
      <c r="B408" s="6">
        <v>10609.66</v>
      </c>
      <c r="C408" s="3">
        <v>2</v>
      </c>
      <c r="D408" s="3">
        <v>5.37</v>
      </c>
      <c r="E408" s="6">
        <v>4912.4</v>
      </c>
      <c r="F408" s="10">
        <v>1.816</v>
      </c>
      <c r="G408" s="9">
        <v>1.265</v>
      </c>
      <c r="H408" s="11">
        <v>835</v>
      </c>
      <c r="I408" s="11">
        <v>91.29</v>
      </c>
      <c r="J408" s="3">
        <v>5</v>
      </c>
      <c r="K408" s="3">
        <v>4.7</v>
      </c>
      <c r="L408" s="3">
        <v>7</v>
      </c>
      <c r="M408" s="16">
        <v>4.8</v>
      </c>
      <c r="N408" s="14">
        <v>-10.9</v>
      </c>
      <c r="O408" s="13">
        <v>904900</v>
      </c>
      <c r="P408" s="12">
        <v>279.75</v>
      </c>
      <c r="Q408" s="9">
        <v>256.5</v>
      </c>
      <c r="R408" s="12">
        <v>486.75</v>
      </c>
      <c r="S408" s="12">
        <v>123</v>
      </c>
      <c r="T408" s="12">
        <v>472.25</v>
      </c>
    </row>
    <row r="409" spans="1:20" ht="12.75">
      <c r="A409" s="2">
        <v>39710</v>
      </c>
      <c r="B409" s="8">
        <v>11019.69</v>
      </c>
      <c r="C409" s="3">
        <v>2</v>
      </c>
      <c r="D409" s="3">
        <v>5.37</v>
      </c>
      <c r="E409" s="6">
        <v>4880</v>
      </c>
      <c r="F409" s="10">
        <v>1.819</v>
      </c>
      <c r="G409" s="12">
        <v>1.264</v>
      </c>
      <c r="H409" s="11">
        <v>878.1</v>
      </c>
      <c r="I409" s="11">
        <v>94.81</v>
      </c>
      <c r="J409" s="3">
        <v>5</v>
      </c>
      <c r="K409" s="3">
        <v>4.7</v>
      </c>
      <c r="L409" s="3">
        <v>7</v>
      </c>
      <c r="M409" s="6">
        <v>4.8</v>
      </c>
      <c r="N409" s="14">
        <v>-10.9</v>
      </c>
      <c r="O409" s="5">
        <v>904900</v>
      </c>
      <c r="P409" s="12">
        <v>237.5</v>
      </c>
      <c r="Q409" s="9">
        <v>258.5</v>
      </c>
      <c r="R409" s="12">
        <v>486</v>
      </c>
      <c r="S409" s="12">
        <v>120</v>
      </c>
      <c r="T409" s="12">
        <v>464.5</v>
      </c>
    </row>
    <row r="410" spans="1:20" ht="12.75">
      <c r="A410" s="2">
        <v>39711</v>
      </c>
      <c r="B410" s="8">
        <v>11388.44</v>
      </c>
      <c r="C410" s="3">
        <v>2</v>
      </c>
      <c r="D410" s="3">
        <v>5.37</v>
      </c>
      <c r="E410" s="8">
        <v>5311.3</v>
      </c>
      <c r="F410" s="10">
        <v>1.833</v>
      </c>
      <c r="G410" s="9">
        <v>1.273</v>
      </c>
      <c r="H410" s="11">
        <v>859</v>
      </c>
      <c r="I410" s="18">
        <v>97.27</v>
      </c>
      <c r="J410" s="3">
        <v>5</v>
      </c>
      <c r="K410" s="3">
        <v>4.7</v>
      </c>
      <c r="L410" s="3">
        <v>7</v>
      </c>
      <c r="M410" s="6">
        <v>4.8</v>
      </c>
      <c r="N410" s="14">
        <v>-10.9</v>
      </c>
      <c r="O410" s="5">
        <v>904900</v>
      </c>
      <c r="P410" s="9">
        <v>285.75</v>
      </c>
      <c r="Q410" s="12">
        <v>256</v>
      </c>
      <c r="R410" s="9">
        <v>600</v>
      </c>
      <c r="S410" s="9">
        <v>131.5</v>
      </c>
      <c r="T410" s="9">
        <v>490.25</v>
      </c>
    </row>
    <row r="411" spans="1:20" ht="12.75">
      <c r="A411" s="2">
        <v>39714</v>
      </c>
      <c r="B411" s="6">
        <v>11015.69</v>
      </c>
      <c r="C411" s="3">
        <v>2</v>
      </c>
      <c r="D411" s="3">
        <v>5.37</v>
      </c>
      <c r="E411" s="6">
        <v>5236.3</v>
      </c>
      <c r="F411" s="10">
        <v>1.847</v>
      </c>
      <c r="G411" s="12">
        <v>1.258</v>
      </c>
      <c r="H411" s="11">
        <v>895.9</v>
      </c>
      <c r="I411" s="18">
        <v>103.56</v>
      </c>
      <c r="J411" s="3">
        <v>5</v>
      </c>
      <c r="K411" s="3">
        <v>4.7</v>
      </c>
      <c r="L411" s="3">
        <v>7</v>
      </c>
      <c r="M411" s="6">
        <v>4.8</v>
      </c>
      <c r="N411" s="14">
        <v>-10.9</v>
      </c>
      <c r="O411" s="5">
        <v>904900</v>
      </c>
      <c r="P411" s="12">
        <v>275</v>
      </c>
      <c r="Q411" s="12">
        <v>250.5</v>
      </c>
      <c r="R411" s="12">
        <v>557</v>
      </c>
      <c r="S411" s="12">
        <v>128</v>
      </c>
      <c r="T411" s="12">
        <v>500.25</v>
      </c>
    </row>
    <row r="412" spans="1:20" ht="12.75">
      <c r="A412" s="2">
        <v>39715</v>
      </c>
      <c r="B412" s="6">
        <v>10853.2</v>
      </c>
      <c r="C412" s="3">
        <v>2</v>
      </c>
      <c r="D412" s="3">
        <v>5.37</v>
      </c>
      <c r="E412" s="6">
        <v>5136.1</v>
      </c>
      <c r="F412" s="10">
        <v>1.855</v>
      </c>
      <c r="G412" s="9">
        <v>1.261</v>
      </c>
      <c r="H412" s="18">
        <v>889.6</v>
      </c>
      <c r="I412" s="18">
        <v>103.12</v>
      </c>
      <c r="J412" s="3">
        <v>5</v>
      </c>
      <c r="K412" s="3">
        <v>4.7</v>
      </c>
      <c r="L412" s="3">
        <v>7</v>
      </c>
      <c r="M412" s="6">
        <v>4.8</v>
      </c>
      <c r="N412" s="14">
        <v>-10.9</v>
      </c>
      <c r="O412" s="5">
        <v>904900</v>
      </c>
      <c r="P412" s="12">
        <v>261.75</v>
      </c>
      <c r="Q412" s="12">
        <v>243.25</v>
      </c>
      <c r="R412" s="12">
        <v>520.5</v>
      </c>
      <c r="S412" s="12">
        <v>124.75</v>
      </c>
      <c r="T412" s="12">
        <v>481.5</v>
      </c>
    </row>
    <row r="413" spans="1:20" ht="12.75">
      <c r="A413" s="2">
        <v>39716</v>
      </c>
      <c r="B413" s="6">
        <v>10825.17</v>
      </c>
      <c r="C413" s="3">
        <v>2</v>
      </c>
      <c r="D413" s="3">
        <v>5.37</v>
      </c>
      <c r="E413" s="6">
        <v>5095.6</v>
      </c>
      <c r="F413" s="10">
        <v>1.849</v>
      </c>
      <c r="G413" s="12">
        <v>1.263</v>
      </c>
      <c r="H413" s="11">
        <v>885.5</v>
      </c>
      <c r="I413" s="18">
        <v>102.61</v>
      </c>
      <c r="J413" s="3">
        <v>5</v>
      </c>
      <c r="K413" s="3">
        <v>4.7</v>
      </c>
      <c r="L413" s="3">
        <v>7</v>
      </c>
      <c r="M413" s="6">
        <v>4.8</v>
      </c>
      <c r="N413" s="14">
        <v>-10.9</v>
      </c>
      <c r="O413" s="5">
        <v>904900</v>
      </c>
      <c r="P413" s="12">
        <v>267</v>
      </c>
      <c r="Q413" s="12">
        <v>248.25</v>
      </c>
      <c r="R413" s="12">
        <v>532</v>
      </c>
      <c r="S413" s="12">
        <v>120.5</v>
      </c>
      <c r="T413" s="12">
        <v>487</v>
      </c>
    </row>
    <row r="414" spans="1:20" ht="12.75">
      <c r="A414" s="2">
        <v>39717</v>
      </c>
      <c r="B414" s="8">
        <v>11022.06</v>
      </c>
      <c r="C414" s="3">
        <v>2</v>
      </c>
      <c r="D414" s="3">
        <v>5.37</v>
      </c>
      <c r="E414" s="8">
        <v>5197</v>
      </c>
      <c r="F414" s="15">
        <v>1.839</v>
      </c>
      <c r="G414" s="12">
        <v>1.256</v>
      </c>
      <c r="H414" s="18">
        <v>873.1</v>
      </c>
      <c r="I414" s="11">
        <v>104.86</v>
      </c>
      <c r="J414" s="3">
        <v>5</v>
      </c>
      <c r="K414" s="3">
        <v>4.7</v>
      </c>
      <c r="L414" s="3">
        <v>7</v>
      </c>
      <c r="M414" s="6">
        <v>4.8</v>
      </c>
      <c r="N414" s="14">
        <v>-10.9</v>
      </c>
      <c r="O414" s="5">
        <v>904900</v>
      </c>
      <c r="P414" s="9">
        <v>273.25</v>
      </c>
      <c r="Q414" s="9">
        <v>249.5</v>
      </c>
      <c r="R414" s="9">
        <v>577</v>
      </c>
      <c r="S414" s="9">
        <v>127.75</v>
      </c>
      <c r="T414" s="9">
        <v>498</v>
      </c>
    </row>
    <row r="415" spans="1:20" ht="12.75">
      <c r="A415" s="2">
        <v>39718</v>
      </c>
      <c r="B415" s="8">
        <v>11146.3</v>
      </c>
      <c r="C415" s="3">
        <v>2</v>
      </c>
      <c r="D415" s="3">
        <v>5.37</v>
      </c>
      <c r="E415" s="6">
        <v>5088.5</v>
      </c>
      <c r="F415" s="15">
        <v>1.838</v>
      </c>
      <c r="G415" s="9">
        <v>1.258</v>
      </c>
      <c r="H415" s="11">
        <v>887.6</v>
      </c>
      <c r="I415" s="18">
        <v>102.22</v>
      </c>
      <c r="J415" s="3">
        <v>5</v>
      </c>
      <c r="K415" s="3">
        <v>4.7</v>
      </c>
      <c r="L415" s="3">
        <v>7</v>
      </c>
      <c r="M415" s="6">
        <v>4.8</v>
      </c>
      <c r="N415" s="14">
        <v>-10.9</v>
      </c>
      <c r="O415" s="5">
        <v>904900</v>
      </c>
      <c r="P415" s="12">
        <v>251</v>
      </c>
      <c r="Q415" s="12">
        <v>246</v>
      </c>
      <c r="R415" s="12">
        <v>542.5</v>
      </c>
      <c r="S415" s="12">
        <v>126</v>
      </c>
      <c r="T415" s="12">
        <v>488.5</v>
      </c>
    </row>
    <row r="416" spans="1:20" ht="12.75">
      <c r="A416" s="2">
        <v>39722</v>
      </c>
      <c r="B416" s="6">
        <v>10850.6</v>
      </c>
      <c r="C416" s="3">
        <v>2</v>
      </c>
      <c r="D416" s="3">
        <v>5.37</v>
      </c>
      <c r="E416" s="6">
        <v>4902.4</v>
      </c>
      <c r="F416" s="15">
        <v>1.785</v>
      </c>
      <c r="G416" s="9">
        <v>1.267</v>
      </c>
      <c r="H416" s="18">
        <v>877.3</v>
      </c>
      <c r="I416" s="18">
        <v>96.5</v>
      </c>
      <c r="J416" s="3">
        <v>5</v>
      </c>
      <c r="K416" s="3">
        <v>4.7</v>
      </c>
      <c r="L416" s="3">
        <v>7</v>
      </c>
      <c r="M416" s="6">
        <v>4.8</v>
      </c>
      <c r="N416" s="14">
        <v>-10.9</v>
      </c>
      <c r="O416" s="5">
        <v>904900</v>
      </c>
      <c r="P416" s="9">
        <v>226.5</v>
      </c>
      <c r="Q416" s="9">
        <v>258.5</v>
      </c>
      <c r="R416" s="12">
        <v>507.5</v>
      </c>
      <c r="S416" s="12">
        <v>122.75</v>
      </c>
      <c r="T416" s="12">
        <v>464</v>
      </c>
    </row>
    <row r="417" spans="1:15" ht="12.75">
      <c r="A417" s="2"/>
      <c r="B417" s="6"/>
      <c r="C417" s="3"/>
      <c r="D417" s="3"/>
      <c r="E417" s="6"/>
      <c r="F417" s="10"/>
      <c r="O417" s="5"/>
    </row>
    <row r="418" spans="1:15" ht="12.75">
      <c r="A418" s="2"/>
      <c r="B418" s="6"/>
      <c r="C418" s="3"/>
      <c r="D418" s="3"/>
      <c r="E418" s="6"/>
      <c r="F418" s="10"/>
      <c r="O418" s="5"/>
    </row>
    <row r="419" spans="1:15" ht="12.75">
      <c r="A419" s="2"/>
      <c r="B419" s="6"/>
      <c r="C419" s="3"/>
      <c r="D419" s="3"/>
      <c r="E419" s="6"/>
      <c r="F419" s="10"/>
      <c r="O419" s="5"/>
    </row>
    <row r="420" spans="1:15" ht="12.75">
      <c r="A420" s="2"/>
      <c r="B420" s="6"/>
      <c r="C420" s="3"/>
      <c r="D420" s="3"/>
      <c r="E420" s="6"/>
      <c r="F420" s="10"/>
      <c r="O420" s="5"/>
    </row>
    <row r="421" spans="1:15" ht="12.75">
      <c r="A421" s="2"/>
      <c r="B421" s="6"/>
      <c r="C421" s="3"/>
      <c r="D421" s="3"/>
      <c r="E421" s="6"/>
      <c r="F421" s="10"/>
      <c r="O421" s="5"/>
    </row>
    <row r="422" spans="1:15" ht="12.75">
      <c r="A422" s="2"/>
      <c r="B422" s="6"/>
      <c r="C422" s="3"/>
      <c r="D422" s="3"/>
      <c r="E422" s="6"/>
      <c r="F422" s="10"/>
      <c r="O422" s="5"/>
    </row>
    <row r="423" spans="1:15" ht="12.75">
      <c r="A423" s="2"/>
      <c r="B423" s="6"/>
      <c r="C423" s="3"/>
      <c r="D423" s="3"/>
      <c r="E423" s="6"/>
      <c r="F423" s="10"/>
      <c r="O423" s="5"/>
    </row>
    <row r="424" spans="1:15" ht="12.75">
      <c r="A424" s="2"/>
      <c r="B424" s="6"/>
      <c r="C424" s="3"/>
      <c r="D424" s="3"/>
      <c r="E424" s="6"/>
      <c r="F424" s="10"/>
      <c r="O424" s="5"/>
    </row>
    <row r="425" spans="1:15" ht="12.75">
      <c r="A425" s="2"/>
      <c r="B425" s="6"/>
      <c r="C425" s="3"/>
      <c r="D425" s="3"/>
      <c r="E425" s="6"/>
      <c r="F425" s="10"/>
      <c r="O425" s="5"/>
    </row>
    <row r="426" spans="1:15" ht="12.75">
      <c r="A426" s="2"/>
      <c r="B426" s="6"/>
      <c r="C426" s="3"/>
      <c r="D426" s="3"/>
      <c r="E426" s="6"/>
      <c r="F426" s="10"/>
      <c r="O426" s="5"/>
    </row>
    <row r="427" spans="1:15" ht="12.75">
      <c r="A427" s="2"/>
      <c r="B427" s="6"/>
      <c r="C427" s="3"/>
      <c r="D427" s="3"/>
      <c r="E427" s="6"/>
      <c r="F427" s="10"/>
      <c r="O427" s="5"/>
    </row>
    <row r="428" spans="1:15" ht="12.75">
      <c r="A428" s="2"/>
      <c r="B428" s="6"/>
      <c r="C428" s="3"/>
      <c r="D428" s="6"/>
      <c r="E428" s="6"/>
      <c r="F428" s="10"/>
      <c r="O428" s="5"/>
    </row>
    <row r="429" spans="1:15" ht="12.75">
      <c r="A429" s="2"/>
      <c r="B429" s="6"/>
      <c r="C429" s="3"/>
      <c r="D429" s="6"/>
      <c r="E429" s="6"/>
      <c r="F429" s="10"/>
      <c r="O429" s="5"/>
    </row>
    <row r="430" spans="1:15" ht="12.75">
      <c r="A430" s="2"/>
      <c r="B430" s="6"/>
      <c r="C430" s="3"/>
      <c r="D430" s="6"/>
      <c r="E430" s="6"/>
      <c r="F430" s="10"/>
      <c r="O430" s="5"/>
    </row>
    <row r="431" spans="1:15" ht="12.75">
      <c r="A431" s="2"/>
      <c r="B431" s="6"/>
      <c r="C431" s="3"/>
      <c r="D431" s="6"/>
      <c r="E431" s="6"/>
      <c r="F431" s="10"/>
      <c r="O431" s="5"/>
    </row>
    <row r="432" spans="1:15" ht="12.75">
      <c r="A432" s="2"/>
      <c r="B432" s="6"/>
      <c r="C432" s="3"/>
      <c r="D432" s="6"/>
      <c r="E432" s="6"/>
      <c r="F432" s="10"/>
      <c r="O432" s="5"/>
    </row>
    <row r="433" spans="1:15" ht="12.75">
      <c r="A433" s="2"/>
      <c r="B433" s="6"/>
      <c r="C433" s="3"/>
      <c r="D433" s="6"/>
      <c r="E433" s="6"/>
      <c r="F433" s="10"/>
      <c r="O433" s="5"/>
    </row>
    <row r="434" spans="1:15" ht="12.75">
      <c r="A434" s="2"/>
      <c r="B434" s="6"/>
      <c r="C434" s="3"/>
      <c r="D434" s="6"/>
      <c r="E434" s="6"/>
      <c r="F434" s="10"/>
      <c r="O434" s="5"/>
    </row>
    <row r="435" spans="1:15" ht="12.75">
      <c r="A435" s="2"/>
      <c r="B435" s="6"/>
      <c r="C435" s="3"/>
      <c r="D435" s="6"/>
      <c r="E435" s="6"/>
      <c r="F435" s="10"/>
      <c r="O435" s="5"/>
    </row>
    <row r="436" spans="1:15" ht="12.75">
      <c r="A436" s="2"/>
      <c r="B436" s="6"/>
      <c r="C436" s="3"/>
      <c r="D436" s="6"/>
      <c r="E436" s="6"/>
      <c r="F436" s="10"/>
      <c r="O436" s="5"/>
    </row>
    <row r="437" spans="1:15" ht="12.75">
      <c r="A437" s="2"/>
      <c r="B437" s="6"/>
      <c r="C437" s="3"/>
      <c r="D437" s="6"/>
      <c r="E437" s="6"/>
      <c r="F437" s="10"/>
      <c r="O437" s="5"/>
    </row>
    <row r="438" spans="1:15" ht="12.75">
      <c r="A438" s="2"/>
      <c r="B438" s="6"/>
      <c r="C438" s="3"/>
      <c r="D438" s="6"/>
      <c r="E438" s="6"/>
      <c r="F438" s="10"/>
      <c r="O438" s="5"/>
    </row>
    <row r="439" spans="1:15" ht="12.75">
      <c r="A439" s="2"/>
      <c r="B439" s="6"/>
      <c r="C439" s="3"/>
      <c r="D439" s="6"/>
      <c r="E439" s="6"/>
      <c r="F439" s="10"/>
      <c r="O439" s="5"/>
    </row>
    <row r="440" spans="1:15" ht="12.75">
      <c r="A440" s="2"/>
      <c r="B440" s="6"/>
      <c r="C440" s="3"/>
      <c r="D440" s="6"/>
      <c r="E440" s="6"/>
      <c r="F440" s="10"/>
      <c r="O440" s="5"/>
    </row>
    <row r="441" spans="1:15" ht="12.75">
      <c r="A441" s="2"/>
      <c r="B441" s="6"/>
      <c r="C441" s="3"/>
      <c r="D441" s="6"/>
      <c r="E441" s="6"/>
      <c r="F441" s="10"/>
      <c r="O441" s="5"/>
    </row>
    <row r="442" spans="1:15" ht="12.75">
      <c r="A442" s="2"/>
      <c r="B442" s="6"/>
      <c r="C442" s="3"/>
      <c r="D442" s="6"/>
      <c r="E442" s="6"/>
      <c r="F442" s="10"/>
      <c r="O442" s="5"/>
    </row>
    <row r="443" spans="1:15" ht="12.75">
      <c r="A443" s="2"/>
      <c r="B443" s="6"/>
      <c r="C443" s="3"/>
      <c r="D443" s="6"/>
      <c r="E443" s="6"/>
      <c r="F443" s="10"/>
      <c r="O443" s="5"/>
    </row>
    <row r="444" spans="1:15" ht="12.75">
      <c r="A444" s="2"/>
      <c r="B444" s="6"/>
      <c r="C444" s="3"/>
      <c r="D444" s="6"/>
      <c r="E444" s="6"/>
      <c r="F444" s="10"/>
      <c r="O444" s="5"/>
    </row>
    <row r="445" spans="1:15" ht="12.75">
      <c r="A445" s="2"/>
      <c r="B445" s="6"/>
      <c r="C445" s="3"/>
      <c r="D445" s="6"/>
      <c r="E445" s="6"/>
      <c r="F445" s="10"/>
      <c r="O445" s="5"/>
    </row>
    <row r="446" spans="1:15" ht="12.75">
      <c r="A446" s="2"/>
      <c r="B446" s="6"/>
      <c r="C446" s="3"/>
      <c r="D446" s="6"/>
      <c r="E446" s="6"/>
      <c r="F446" s="10"/>
      <c r="O446" s="5"/>
    </row>
    <row r="447" spans="1:15" ht="12.75">
      <c r="A447" s="2"/>
      <c r="B447" s="6"/>
      <c r="C447" s="3"/>
      <c r="D447" s="6"/>
      <c r="E447" s="6"/>
      <c r="F447" s="10"/>
      <c r="O447" s="5"/>
    </row>
    <row r="448" spans="1:15" ht="12.75">
      <c r="A448" s="2"/>
      <c r="B448" s="6"/>
      <c r="C448" s="3"/>
      <c r="D448" s="6"/>
      <c r="E448" s="6"/>
      <c r="F448" s="10"/>
      <c r="O448" s="5"/>
    </row>
    <row r="449" spans="1:15" ht="12.75">
      <c r="A449" s="2"/>
      <c r="B449" s="6"/>
      <c r="C449" s="3"/>
      <c r="D449" s="6"/>
      <c r="E449" s="6"/>
      <c r="F449" s="10"/>
      <c r="O449" s="5"/>
    </row>
    <row r="450" spans="1:15" ht="12.75">
      <c r="A450" s="2"/>
      <c r="B450" s="6"/>
      <c r="C450" s="3"/>
      <c r="D450" s="6"/>
      <c r="E450" s="6"/>
      <c r="F450" s="10"/>
      <c r="O450" s="5"/>
    </row>
    <row r="451" spans="1:15" ht="12.75">
      <c r="A451" s="2"/>
      <c r="B451" s="6"/>
      <c r="C451" s="3"/>
      <c r="D451" s="6"/>
      <c r="E451" s="6"/>
      <c r="F451" s="10"/>
      <c r="O451" s="5"/>
    </row>
    <row r="452" spans="1:15" ht="12.75">
      <c r="A452" s="2"/>
      <c r="B452" s="6"/>
      <c r="C452" s="3"/>
      <c r="D452" s="6"/>
      <c r="E452" s="6"/>
      <c r="F452" s="10"/>
      <c r="O452" s="5"/>
    </row>
    <row r="453" spans="1:15" ht="12.75">
      <c r="A453" s="2"/>
      <c r="B453" s="6"/>
      <c r="C453" s="3"/>
      <c r="D453" s="6"/>
      <c r="E453" s="6"/>
      <c r="F453" s="10"/>
      <c r="O453" s="5"/>
    </row>
    <row r="454" spans="1:15" ht="12.75">
      <c r="A454" s="2"/>
      <c r="B454" s="6"/>
      <c r="C454" s="3"/>
      <c r="D454" s="6"/>
      <c r="E454" s="6"/>
      <c r="O454" s="5"/>
    </row>
    <row r="455" spans="1:15" ht="12.75">
      <c r="A455" s="2"/>
      <c r="B455" s="6"/>
      <c r="C455" s="3"/>
      <c r="D455" s="6"/>
      <c r="E455" s="6"/>
      <c r="O455" s="5"/>
    </row>
    <row r="456" spans="1:15" ht="12.75">
      <c r="A456" s="2"/>
      <c r="B456" s="6"/>
      <c r="C456" s="3"/>
      <c r="D456" s="6"/>
      <c r="E456" s="6"/>
      <c r="O456" s="5"/>
    </row>
    <row r="457" spans="1:15" ht="12.75">
      <c r="A457" s="2"/>
      <c r="B457" s="6"/>
      <c r="C457" s="3"/>
      <c r="D457" s="6"/>
      <c r="E457" s="6"/>
      <c r="O457" s="5"/>
    </row>
    <row r="458" spans="1:15" ht="12.75">
      <c r="A458" s="2"/>
      <c r="B458" s="6"/>
      <c r="C458" s="3"/>
      <c r="D458" s="6"/>
      <c r="E458" s="6"/>
      <c r="O458" s="5"/>
    </row>
    <row r="459" spans="1:15" ht="12.75">
      <c r="A459" s="2"/>
      <c r="B459" s="6"/>
      <c r="C459" s="3"/>
      <c r="D459" s="6"/>
      <c r="E459" s="6"/>
      <c r="O459" s="5"/>
    </row>
    <row r="460" spans="1:15" ht="12.75">
      <c r="A460" s="2"/>
      <c r="B460" s="6"/>
      <c r="C460" s="3"/>
      <c r="D460" s="6"/>
      <c r="E460" s="6"/>
      <c r="O460" s="5"/>
    </row>
    <row r="461" spans="1:15" ht="12.75">
      <c r="A461" s="2"/>
      <c r="B461" s="6"/>
      <c r="C461" s="3"/>
      <c r="D461" s="6"/>
      <c r="E461" s="6"/>
      <c r="O461" s="5"/>
    </row>
    <row r="462" spans="1:15" ht="12.75">
      <c r="A462" s="2"/>
      <c r="B462" s="6"/>
      <c r="C462" s="3"/>
      <c r="D462" s="6"/>
      <c r="E462" s="6"/>
      <c r="O462" s="5"/>
    </row>
    <row r="463" spans="1:15" ht="12.75">
      <c r="A463" s="2"/>
      <c r="B463" s="6"/>
      <c r="C463" s="3"/>
      <c r="D463" s="6"/>
      <c r="E463" s="6"/>
      <c r="O463" s="5"/>
    </row>
    <row r="464" spans="1:15" ht="12.75">
      <c r="A464" s="2"/>
      <c r="B464" s="6"/>
      <c r="C464" s="3"/>
      <c r="D464" s="6"/>
      <c r="E464" s="6"/>
      <c r="O464" s="5"/>
    </row>
    <row r="465" spans="1:15" ht="12.75">
      <c r="A465" s="2"/>
      <c r="B465" s="6"/>
      <c r="C465" s="3"/>
      <c r="D465" s="6"/>
      <c r="E465" s="6"/>
      <c r="O465" s="5"/>
    </row>
    <row r="466" spans="1:15" ht="12.75">
      <c r="A466" s="2"/>
      <c r="B466" s="6"/>
      <c r="C466" s="3"/>
      <c r="D466" s="6"/>
      <c r="E466" s="6"/>
      <c r="O466" s="5"/>
    </row>
    <row r="467" spans="1:15" ht="12.75">
      <c r="A467" s="2"/>
      <c r="B467" s="6"/>
      <c r="C467" s="3"/>
      <c r="D467" s="6"/>
      <c r="E467" s="6"/>
      <c r="O467" s="5"/>
    </row>
    <row r="468" spans="1:15" ht="12.75">
      <c r="A468" s="2"/>
      <c r="B468" s="6"/>
      <c r="C468" s="3"/>
      <c r="D468" s="6"/>
      <c r="E468" s="6"/>
      <c r="O468" s="5"/>
    </row>
    <row r="469" spans="1:15" ht="12.75">
      <c r="A469" s="2"/>
      <c r="B469" s="6"/>
      <c r="C469" s="3"/>
      <c r="D469" s="6"/>
      <c r="E469" s="6"/>
      <c r="O469" s="5"/>
    </row>
    <row r="470" spans="1:15" ht="12.75">
      <c r="A470" s="2"/>
      <c r="B470" s="6"/>
      <c r="C470" s="3"/>
      <c r="D470" s="6"/>
      <c r="E470" s="6"/>
      <c r="O470" s="5"/>
    </row>
    <row r="471" spans="1:15" ht="12.75">
      <c r="A471" s="2"/>
      <c r="B471" s="6"/>
      <c r="C471" s="3"/>
      <c r="D471" s="6"/>
      <c r="E471" s="6"/>
      <c r="O471" s="5"/>
    </row>
    <row r="472" spans="1:15" ht="12.75">
      <c r="A472" s="2"/>
      <c r="B472" s="6"/>
      <c r="C472" s="3"/>
      <c r="D472" s="6"/>
      <c r="E472" s="6"/>
      <c r="O472" s="5"/>
    </row>
    <row r="473" spans="1:15" ht="12.75">
      <c r="A473" s="2"/>
      <c r="B473" s="6"/>
      <c r="C473" s="3"/>
      <c r="D473" s="6"/>
      <c r="E473" s="6"/>
      <c r="O473" s="5"/>
    </row>
    <row r="474" spans="1:15" ht="12.75">
      <c r="A474" s="2"/>
      <c r="B474" s="6"/>
      <c r="C474" s="3"/>
      <c r="D474" s="6"/>
      <c r="E474" s="6"/>
      <c r="O474" s="5"/>
    </row>
    <row r="475" spans="1:15" ht="12.75">
      <c r="A475" s="2"/>
      <c r="B475" s="6"/>
      <c r="C475" s="3"/>
      <c r="D475" s="6"/>
      <c r="E475" s="6"/>
      <c r="O475" s="5"/>
    </row>
    <row r="476" spans="1:15" ht="12.75">
      <c r="A476" s="2"/>
      <c r="B476" s="6"/>
      <c r="C476" s="3"/>
      <c r="D476" s="6"/>
      <c r="E476" s="6"/>
      <c r="O476" s="5"/>
    </row>
    <row r="477" spans="1:15" ht="12.75">
      <c r="A477" s="2"/>
      <c r="B477" s="6"/>
      <c r="C477" s="3"/>
      <c r="D477" s="6"/>
      <c r="E477" s="6"/>
      <c r="O477" s="5"/>
    </row>
    <row r="478" spans="1:15" ht="12.75">
      <c r="A478" s="2"/>
      <c r="B478" s="6"/>
      <c r="C478" s="3"/>
      <c r="D478" s="6"/>
      <c r="E478" s="6"/>
      <c r="O478" s="5"/>
    </row>
    <row r="479" spans="1:15" ht="12.75">
      <c r="A479" s="2"/>
      <c r="B479" s="6"/>
      <c r="C479" s="3"/>
      <c r="D479" s="6"/>
      <c r="E479" s="6"/>
      <c r="O479" s="5"/>
    </row>
    <row r="480" spans="1:15" ht="12.75">
      <c r="A480" s="2"/>
      <c r="B480" s="6"/>
      <c r="C480" s="3"/>
      <c r="D480" s="6"/>
      <c r="E480" s="6"/>
      <c r="O480" s="5"/>
    </row>
    <row r="481" spans="1:15" ht="12.75">
      <c r="A481" s="2"/>
      <c r="B481" s="6"/>
      <c r="C481" s="3"/>
      <c r="D481" s="6"/>
      <c r="E481" s="6"/>
      <c r="O481" s="5"/>
    </row>
    <row r="482" spans="1:15" ht="12.75">
      <c r="A482" s="2"/>
      <c r="B482" s="6"/>
      <c r="C482" s="3"/>
      <c r="D482" s="6"/>
      <c r="E482" s="6"/>
      <c r="O482" s="5"/>
    </row>
    <row r="483" spans="1:15" ht="12.75">
      <c r="A483" s="2"/>
      <c r="B483" s="6"/>
      <c r="C483" s="3"/>
      <c r="D483" s="6"/>
      <c r="E483" s="6"/>
      <c r="O483" s="5"/>
    </row>
    <row r="484" spans="1:15" ht="12.75">
      <c r="A484" s="2"/>
      <c r="B484" s="6"/>
      <c r="C484" s="3"/>
      <c r="D484" s="6"/>
      <c r="E484" s="6"/>
      <c r="O484" s="5"/>
    </row>
    <row r="485" spans="1:15" ht="12.75">
      <c r="A485" s="2"/>
      <c r="B485" s="6"/>
      <c r="C485" s="3"/>
      <c r="D485" s="6"/>
      <c r="E485" s="6"/>
      <c r="O485" s="5"/>
    </row>
    <row r="486" spans="1:15" ht="12.75">
      <c r="A486" s="2"/>
      <c r="B486" s="6"/>
      <c r="C486" s="3"/>
      <c r="D486" s="6"/>
      <c r="E486" s="6"/>
      <c r="O486" s="5"/>
    </row>
    <row r="487" spans="1:15" ht="12.75">
      <c r="A487" s="2"/>
      <c r="B487" s="6"/>
      <c r="C487" s="3"/>
      <c r="D487" s="6"/>
      <c r="E487" s="6"/>
      <c r="O487" s="5"/>
    </row>
    <row r="488" spans="1:15" ht="12.75">
      <c r="A488" s="2"/>
      <c r="B488" s="6"/>
      <c r="C488" s="3"/>
      <c r="D488" s="6"/>
      <c r="E488" s="6"/>
      <c r="O488" s="5"/>
    </row>
    <row r="489" spans="1:15" ht="12.75">
      <c r="A489" s="2"/>
      <c r="B489" s="6"/>
      <c r="C489" s="3"/>
      <c r="D489" s="6"/>
      <c r="E489" s="6"/>
      <c r="O489" s="5"/>
    </row>
    <row r="490" spans="1:15" ht="12.75">
      <c r="A490" s="2"/>
      <c r="B490" s="6"/>
      <c r="C490" s="3"/>
      <c r="D490" s="6"/>
      <c r="E490" s="6"/>
      <c r="O490" s="5"/>
    </row>
    <row r="491" spans="1:15" ht="12.75">
      <c r="A491" s="2"/>
      <c r="B491" s="6"/>
      <c r="C491" s="3"/>
      <c r="D491" s="6"/>
      <c r="E491" s="6"/>
      <c r="O491" s="5"/>
    </row>
    <row r="492" spans="1:15" ht="12.75">
      <c r="A492" s="2"/>
      <c r="B492" s="6"/>
      <c r="C492" s="3"/>
      <c r="D492" s="6"/>
      <c r="E492" s="6"/>
      <c r="O492" s="5"/>
    </row>
    <row r="493" spans="1:15" ht="12.75">
      <c r="A493" s="2"/>
      <c r="B493" s="6"/>
      <c r="C493" s="3"/>
      <c r="D493" s="6"/>
      <c r="E493" s="6"/>
      <c r="O493" s="5"/>
    </row>
    <row r="494" spans="1:15" ht="12.75">
      <c r="A494" s="2"/>
      <c r="B494" s="6"/>
      <c r="C494" s="3"/>
      <c r="D494" s="6"/>
      <c r="E494" s="6"/>
      <c r="O494" s="5"/>
    </row>
    <row r="495" spans="1:15" ht="12.75">
      <c r="A495" s="2"/>
      <c r="B495" s="6"/>
      <c r="C495" s="3"/>
      <c r="D495" s="6"/>
      <c r="E495" s="6"/>
      <c r="O495" s="5"/>
    </row>
    <row r="496" spans="1:15" ht="12.75">
      <c r="A496" s="2"/>
      <c r="B496" s="6"/>
      <c r="C496" s="3"/>
      <c r="D496" s="6"/>
      <c r="E496" s="6"/>
      <c r="O496" s="5"/>
    </row>
    <row r="497" spans="1:15" ht="12.75">
      <c r="A497" s="2"/>
      <c r="B497" s="6"/>
      <c r="C497" s="3"/>
      <c r="D497" s="6"/>
      <c r="E497" s="6"/>
      <c r="O497" s="5"/>
    </row>
    <row r="498" spans="1:15" ht="12.75">
      <c r="A498" s="2"/>
      <c r="B498" s="6"/>
      <c r="C498" s="3"/>
      <c r="D498" s="6"/>
      <c r="E498" s="6"/>
      <c r="O498" s="5"/>
    </row>
    <row r="499" spans="1:15" ht="12.75">
      <c r="A499" s="2"/>
      <c r="B499" s="6"/>
      <c r="C499" s="3"/>
      <c r="D499" s="6"/>
      <c r="E499" s="6"/>
      <c r="O499" s="5"/>
    </row>
    <row r="500" spans="1:15" ht="12.75">
      <c r="A500" s="2"/>
      <c r="B500" s="6"/>
      <c r="C500" s="3"/>
      <c r="D500" s="6"/>
      <c r="E500" s="6"/>
      <c r="O500" s="5"/>
    </row>
    <row r="501" spans="1:15" ht="12.75">
      <c r="A501" s="2"/>
      <c r="B501" s="6"/>
      <c r="C501" s="3"/>
      <c r="D501" s="6"/>
      <c r="E501" s="6"/>
      <c r="O501" s="5"/>
    </row>
    <row r="502" spans="1:15" ht="12.75">
      <c r="A502" s="2"/>
      <c r="B502" s="6"/>
      <c r="C502" s="3"/>
      <c r="D502" s="6"/>
      <c r="E502" s="6"/>
      <c r="O502" s="5"/>
    </row>
    <row r="503" spans="1:15" ht="12.75">
      <c r="A503" s="2"/>
      <c r="B503" s="6"/>
      <c r="C503" s="3"/>
      <c r="D503" s="6"/>
      <c r="E503" s="6"/>
      <c r="O503" s="5"/>
    </row>
    <row r="504" spans="1:15" ht="12.75">
      <c r="A504" s="2"/>
      <c r="B504" s="6"/>
      <c r="C504" s="3"/>
      <c r="D504" s="6"/>
      <c r="E504" s="6"/>
      <c r="O504" s="5"/>
    </row>
    <row r="505" spans="1:15" ht="12.75">
      <c r="A505" s="2"/>
      <c r="B505" s="6"/>
      <c r="C505" s="3"/>
      <c r="D505" s="6"/>
      <c r="E505" s="6"/>
      <c r="O505" s="5"/>
    </row>
    <row r="506" spans="1:15" ht="12.75">
      <c r="A506" s="2"/>
      <c r="B506" s="6"/>
      <c r="C506" s="3"/>
      <c r="D506" s="6"/>
      <c r="E506" s="6"/>
      <c r="O506" s="5"/>
    </row>
    <row r="507" spans="1:15" ht="12.75">
      <c r="A507" s="2"/>
      <c r="B507" s="6"/>
      <c r="C507" s="3"/>
      <c r="D507" s="6"/>
      <c r="E507" s="6"/>
      <c r="O507" s="5"/>
    </row>
    <row r="508" spans="1:15" ht="12.75">
      <c r="A508" s="2"/>
      <c r="B508" s="6"/>
      <c r="C508" s="3"/>
      <c r="D508" s="6"/>
      <c r="E508" s="6"/>
      <c r="O508" s="5"/>
    </row>
    <row r="509" spans="1:15" ht="12.75">
      <c r="A509" s="2"/>
      <c r="B509" s="6"/>
      <c r="C509" s="3"/>
      <c r="D509" s="6"/>
      <c r="E509" s="6"/>
      <c r="O509" s="5"/>
    </row>
    <row r="510" spans="1:15" ht="12.75">
      <c r="A510" s="2"/>
      <c r="B510" s="6"/>
      <c r="C510" s="3"/>
      <c r="D510" s="6"/>
      <c r="E510" s="6"/>
      <c r="O510" s="5"/>
    </row>
    <row r="511" spans="1:15" ht="12.75">
      <c r="A511" s="2"/>
      <c r="B511" s="6"/>
      <c r="C511" s="3"/>
      <c r="D511" s="6"/>
      <c r="E511" s="6"/>
      <c r="O511" s="5"/>
    </row>
    <row r="512" spans="1:15" ht="12.75">
      <c r="A512" s="2"/>
      <c r="B512" s="6"/>
      <c r="C512" s="3"/>
      <c r="D512" s="6"/>
      <c r="E512" s="6"/>
      <c r="O512" s="5"/>
    </row>
    <row r="513" spans="1:15" ht="12.75">
      <c r="A513" s="2"/>
      <c r="B513" s="6"/>
      <c r="C513" s="3"/>
      <c r="D513" s="6"/>
      <c r="E513" s="6"/>
      <c r="O513" s="5"/>
    </row>
    <row r="514" spans="1:15" ht="12.75">
      <c r="A514" s="2"/>
      <c r="B514" s="6"/>
      <c r="C514" s="3"/>
      <c r="D514" s="6"/>
      <c r="E514" s="6"/>
      <c r="O514" s="5"/>
    </row>
    <row r="515" spans="1:15" ht="12.75">
      <c r="A515" s="2"/>
      <c r="B515" s="6"/>
      <c r="C515" s="3"/>
      <c r="D515" s="6"/>
      <c r="E515" s="6"/>
      <c r="O515" s="5"/>
    </row>
    <row r="516" spans="1:15" ht="12.75">
      <c r="A516" s="2"/>
      <c r="B516" s="6"/>
      <c r="C516" s="3"/>
      <c r="D516" s="6"/>
      <c r="E516" s="6"/>
      <c r="O516" s="5"/>
    </row>
    <row r="517" spans="1:15" ht="12.75">
      <c r="A517" s="2"/>
      <c r="B517" s="6"/>
      <c r="C517" s="3"/>
      <c r="D517" s="6"/>
      <c r="E517" s="6"/>
      <c r="O517" s="5"/>
    </row>
    <row r="518" spans="1:15" ht="12.75">
      <c r="A518" s="2"/>
      <c r="B518" s="6"/>
      <c r="C518" s="3"/>
      <c r="D518" s="6"/>
      <c r="E518" s="6"/>
      <c r="O518" s="5"/>
    </row>
    <row r="519" spans="1:15" ht="12.75">
      <c r="A519" s="2"/>
      <c r="B519" s="6"/>
      <c r="C519" s="3"/>
      <c r="D519" s="6"/>
      <c r="E519" s="6"/>
      <c r="O519" s="5"/>
    </row>
    <row r="520" spans="1:15" ht="12.75">
      <c r="A520" s="2"/>
      <c r="B520" s="6"/>
      <c r="C520" s="3"/>
      <c r="D520" s="6"/>
      <c r="E520" s="6"/>
      <c r="O520" s="5"/>
    </row>
    <row r="521" spans="1:15" ht="12.75">
      <c r="A521" s="2"/>
      <c r="B521" s="6"/>
      <c r="C521" s="3"/>
      <c r="D521" s="6"/>
      <c r="E521" s="6"/>
      <c r="O521" s="5"/>
    </row>
    <row r="522" spans="1:15" ht="12.75">
      <c r="A522" s="2"/>
      <c r="B522" s="6"/>
      <c r="C522" s="3"/>
      <c r="D522" s="6"/>
      <c r="E522" s="6"/>
      <c r="O522" s="5"/>
    </row>
    <row r="523" spans="1:15" ht="12.75">
      <c r="A523" s="2"/>
      <c r="B523" s="6"/>
      <c r="C523" s="3"/>
      <c r="D523" s="6"/>
      <c r="E523" s="6"/>
      <c r="O523" s="5"/>
    </row>
    <row r="524" spans="1:15" ht="12.75">
      <c r="A524" s="2"/>
      <c r="B524" s="6"/>
      <c r="C524" s="3"/>
      <c r="D524" s="6"/>
      <c r="E524" s="6"/>
      <c r="O524" s="5"/>
    </row>
    <row r="525" spans="1:15" ht="12.75">
      <c r="A525" s="2"/>
      <c r="B525" s="6"/>
      <c r="C525" s="3"/>
      <c r="D525" s="6"/>
      <c r="E525" s="6"/>
      <c r="O525" s="5"/>
    </row>
    <row r="526" spans="1:15" ht="12.75">
      <c r="A526" s="2"/>
      <c r="B526" s="6"/>
      <c r="C526" s="3"/>
      <c r="D526" s="6"/>
      <c r="E526" s="6"/>
      <c r="O526" s="5"/>
    </row>
    <row r="527" spans="1:15" ht="12.75">
      <c r="A527" s="2"/>
      <c r="B527" s="6"/>
      <c r="C527" s="3"/>
      <c r="D527" s="6"/>
      <c r="E527" s="6"/>
      <c r="O527" s="5"/>
    </row>
    <row r="528" spans="1:15" ht="12.75">
      <c r="A528" s="2"/>
      <c r="B528" s="6"/>
      <c r="C528" s="3"/>
      <c r="D528" s="6"/>
      <c r="E528" s="6"/>
      <c r="O528" s="5"/>
    </row>
    <row r="529" spans="1:15" ht="12.75">
      <c r="A529" s="2"/>
      <c r="B529" s="6"/>
      <c r="C529" s="3"/>
      <c r="D529" s="6"/>
      <c r="E529" s="6"/>
      <c r="O529" s="5"/>
    </row>
    <row r="530" spans="1:15" ht="12.75">
      <c r="A530" s="2"/>
      <c r="B530" s="6"/>
      <c r="C530" s="3"/>
      <c r="D530" s="6"/>
      <c r="E530" s="6"/>
      <c r="O530" s="5"/>
    </row>
    <row r="531" spans="1:15" ht="12.75">
      <c r="A531" s="2"/>
      <c r="B531" s="6"/>
      <c r="C531" s="3"/>
      <c r="D531" s="6"/>
      <c r="E531" s="6"/>
      <c r="O531" s="5"/>
    </row>
    <row r="532" spans="1:15" ht="12.75">
      <c r="A532" s="2"/>
      <c r="B532" s="6"/>
      <c r="C532" s="3"/>
      <c r="D532" s="6"/>
      <c r="E532" s="6"/>
      <c r="O532" s="5"/>
    </row>
    <row r="533" spans="1:15" ht="12.75">
      <c r="A533" s="2"/>
      <c r="B533" s="6"/>
      <c r="C533" s="3"/>
      <c r="D533" s="6"/>
      <c r="E533" s="6"/>
      <c r="O533" s="5"/>
    </row>
    <row r="534" spans="1:15" ht="12.75">
      <c r="A534" s="2"/>
      <c r="B534" s="6"/>
      <c r="C534" s="3"/>
      <c r="D534" s="6"/>
      <c r="E534" s="6"/>
      <c r="O534" s="5"/>
    </row>
    <row r="535" spans="1:15" ht="12.75">
      <c r="A535" s="2"/>
      <c r="B535" s="6"/>
      <c r="C535" s="3"/>
      <c r="D535" s="6"/>
      <c r="E535" s="6"/>
      <c r="O535" s="5"/>
    </row>
    <row r="536" spans="1:15" ht="12.75">
      <c r="A536" s="2"/>
      <c r="B536" s="6"/>
      <c r="C536" s="3"/>
      <c r="D536" s="6"/>
      <c r="E536" s="6"/>
      <c r="O536" s="5"/>
    </row>
    <row r="537" spans="1:15" ht="12.75">
      <c r="A537" s="2"/>
      <c r="B537" s="6"/>
      <c r="C537" s="3"/>
      <c r="D537" s="6"/>
      <c r="E537" s="6"/>
      <c r="O537" s="5"/>
    </row>
    <row r="538" spans="1:15" ht="12.75">
      <c r="A538" s="2"/>
      <c r="B538" s="6"/>
      <c r="C538" s="3"/>
      <c r="D538" s="6"/>
      <c r="E538" s="6"/>
      <c r="O538" s="5"/>
    </row>
    <row r="539" spans="1:15" ht="12.75">
      <c r="A539" s="2"/>
      <c r="B539" s="6"/>
      <c r="C539" s="3"/>
      <c r="D539" s="6"/>
      <c r="E539" s="6"/>
      <c r="O539" s="5"/>
    </row>
    <row r="540" spans="1:15" ht="12.75">
      <c r="A540" s="2"/>
      <c r="B540" s="6"/>
      <c r="C540" s="3"/>
      <c r="D540" s="6"/>
      <c r="E540" s="6"/>
      <c r="O540" s="5"/>
    </row>
    <row r="541" spans="1:15" ht="12.75">
      <c r="A541" s="2"/>
      <c r="B541" s="6"/>
      <c r="C541" s="3"/>
      <c r="D541" s="6"/>
      <c r="E541" s="6"/>
      <c r="O541" s="5"/>
    </row>
    <row r="542" spans="1:15" ht="12.75">
      <c r="A542" s="2"/>
      <c r="B542" s="6"/>
      <c r="C542" s="3"/>
      <c r="D542" s="6"/>
      <c r="E542" s="6"/>
      <c r="O542" s="5"/>
    </row>
    <row r="543" spans="1:15" ht="12.75">
      <c r="A543" s="2"/>
      <c r="B543" s="6"/>
      <c r="C543" s="3"/>
      <c r="D543" s="6"/>
      <c r="E543" s="6"/>
      <c r="O543" s="5"/>
    </row>
    <row r="544" spans="1:15" ht="12.75">
      <c r="A544" s="2"/>
      <c r="B544" s="6"/>
      <c r="C544" s="3"/>
      <c r="D544" s="6"/>
      <c r="E544" s="6"/>
      <c r="O544" s="5"/>
    </row>
    <row r="545" spans="1:15" ht="12.75">
      <c r="A545" s="2"/>
      <c r="B545" s="6"/>
      <c r="C545" s="3"/>
      <c r="D545" s="6"/>
      <c r="E545" s="6"/>
      <c r="O545" s="5"/>
    </row>
    <row r="546" spans="1:15" ht="12.75">
      <c r="A546" s="2"/>
      <c r="B546" s="6"/>
      <c r="C546" s="3"/>
      <c r="D546" s="6"/>
      <c r="E546" s="6"/>
      <c r="O546" s="5"/>
    </row>
    <row r="547" spans="1:15" ht="12.75">
      <c r="A547" s="2"/>
      <c r="B547" s="6"/>
      <c r="C547" s="3"/>
      <c r="D547" s="6"/>
      <c r="E547" s="6"/>
      <c r="O547" s="5"/>
    </row>
    <row r="548" spans="1:15" ht="12.75">
      <c r="A548" s="2"/>
      <c r="B548" s="6"/>
      <c r="C548" s="3"/>
      <c r="D548" s="6"/>
      <c r="E548" s="6"/>
      <c r="O548" s="5"/>
    </row>
    <row r="549" spans="1:15" ht="12.75">
      <c r="A549" s="2"/>
      <c r="B549" s="6"/>
      <c r="C549" s="3"/>
      <c r="D549" s="6"/>
      <c r="E549" s="6"/>
      <c r="O549" s="5"/>
    </row>
    <row r="550" spans="1:15" ht="12.75">
      <c r="A550" s="2"/>
      <c r="B550" s="6"/>
      <c r="C550" s="3"/>
      <c r="D550" s="6"/>
      <c r="E550" s="6"/>
      <c r="O550" s="5"/>
    </row>
    <row r="551" spans="1:15" ht="12.75">
      <c r="A551" s="2"/>
      <c r="B551" s="6"/>
      <c r="C551" s="3"/>
      <c r="D551" s="6"/>
      <c r="E551" s="6"/>
      <c r="O551" s="5"/>
    </row>
    <row r="552" spans="1:15" ht="12.75">
      <c r="A552" s="2"/>
      <c r="B552" s="6"/>
      <c r="C552" s="3"/>
      <c r="D552" s="6"/>
      <c r="E552" s="6"/>
      <c r="O552" s="5"/>
    </row>
    <row r="553" spans="1:15" ht="12.75">
      <c r="A553" s="2"/>
      <c r="B553" s="6"/>
      <c r="C553" s="3"/>
      <c r="D553" s="6"/>
      <c r="E553" s="6"/>
      <c r="O553" s="5"/>
    </row>
    <row r="554" spans="1:15" ht="12.75">
      <c r="A554" s="2"/>
      <c r="B554" s="6"/>
      <c r="C554" s="3"/>
      <c r="D554" s="6"/>
      <c r="E554" s="6"/>
      <c r="O554" s="5"/>
    </row>
    <row r="555" spans="1:15" ht="12.75">
      <c r="A555" s="2"/>
      <c r="B555" s="6"/>
      <c r="C555" s="3"/>
      <c r="D555" s="6"/>
      <c r="E555" s="6"/>
      <c r="O555" s="5"/>
    </row>
    <row r="556" spans="1:15" ht="12.75">
      <c r="A556" s="2"/>
      <c r="B556" s="6"/>
      <c r="C556" s="3"/>
      <c r="D556" s="6"/>
      <c r="E556" s="6"/>
      <c r="O556" s="5"/>
    </row>
    <row r="557" spans="1:15" ht="12.75">
      <c r="A557" s="2"/>
      <c r="B557" s="6"/>
      <c r="C557" s="3"/>
      <c r="D557" s="6"/>
      <c r="E557" s="6"/>
      <c r="O557" s="5"/>
    </row>
    <row r="558" spans="1:15" ht="12.75">
      <c r="A558" s="2"/>
      <c r="B558" s="6"/>
      <c r="C558" s="3"/>
      <c r="D558" s="6"/>
      <c r="E558" s="6"/>
      <c r="O558" s="5"/>
    </row>
    <row r="559" spans="1:15" ht="12.75">
      <c r="A559" s="2"/>
      <c r="B559" s="6"/>
      <c r="C559" s="3"/>
      <c r="D559" s="6"/>
      <c r="E559" s="6"/>
      <c r="O559" s="5"/>
    </row>
    <row r="560" spans="1:15" ht="12.75">
      <c r="A560" s="2"/>
      <c r="B560" s="6"/>
      <c r="C560" s="3"/>
      <c r="D560" s="6"/>
      <c r="E560" s="6"/>
      <c r="O560" s="5"/>
    </row>
    <row r="561" spans="1:15" ht="12.75">
      <c r="A561" s="2"/>
      <c r="B561" s="6"/>
      <c r="C561" s="3"/>
      <c r="D561" s="6"/>
      <c r="E561" s="6"/>
      <c r="O561" s="5"/>
    </row>
    <row r="562" spans="1:15" ht="12.75">
      <c r="A562" s="2"/>
      <c r="B562" s="6"/>
      <c r="C562" s="3"/>
      <c r="D562" s="6"/>
      <c r="E562" s="6"/>
      <c r="O562" s="5"/>
    </row>
    <row r="563" spans="1:15" ht="12.75">
      <c r="A563" s="2"/>
      <c r="B563" s="6"/>
      <c r="C563" s="3"/>
      <c r="D563" s="6"/>
      <c r="E563" s="6"/>
      <c r="O563" s="5"/>
    </row>
    <row r="564" spans="1:15" ht="12.75">
      <c r="A564" s="2"/>
      <c r="B564" s="6"/>
      <c r="C564" s="3"/>
      <c r="D564" s="6"/>
      <c r="E564" s="6"/>
      <c r="O564" s="5"/>
    </row>
    <row r="565" spans="1:15" ht="12.75">
      <c r="A565" s="2"/>
      <c r="B565" s="6"/>
      <c r="C565" s="3"/>
      <c r="D565" s="6"/>
      <c r="E565" s="6"/>
      <c r="O565" s="5"/>
    </row>
    <row r="566" spans="1:15" ht="12.75">
      <c r="A566" s="2"/>
      <c r="B566" s="6"/>
      <c r="C566" s="3"/>
      <c r="D566" s="6"/>
      <c r="E566" s="6"/>
      <c r="O566" s="5"/>
    </row>
    <row r="567" spans="1:15" ht="12.75">
      <c r="A567" s="2"/>
      <c r="B567" s="6"/>
      <c r="C567" s="3"/>
      <c r="D567" s="6"/>
      <c r="E567" s="6"/>
      <c r="O567" s="5"/>
    </row>
    <row r="568" spans="1:15" ht="12.75">
      <c r="A568" s="2"/>
      <c r="B568" s="6"/>
      <c r="C568" s="3"/>
      <c r="D568" s="6"/>
      <c r="E568" s="6"/>
      <c r="O568" s="5"/>
    </row>
    <row r="569" spans="1:15" ht="12.75">
      <c r="A569" s="2"/>
      <c r="B569" s="6"/>
      <c r="C569" s="3"/>
      <c r="D569" s="6"/>
      <c r="E569" s="6"/>
      <c r="O569" s="5"/>
    </row>
    <row r="570" spans="1:15" ht="12.75">
      <c r="A570" s="2"/>
      <c r="B570" s="6"/>
      <c r="C570" s="3"/>
      <c r="D570" s="6"/>
      <c r="E570" s="6"/>
      <c r="O570" s="5"/>
    </row>
    <row r="571" spans="1:15" ht="12.75">
      <c r="A571" s="2"/>
      <c r="B571" s="6"/>
      <c r="C571" s="3"/>
      <c r="D571" s="6"/>
      <c r="E571" s="6"/>
      <c r="O571" s="5"/>
    </row>
    <row r="572" spans="1:15" ht="12.75">
      <c r="A572" s="2"/>
      <c r="B572" s="6"/>
      <c r="C572" s="3"/>
      <c r="D572" s="6"/>
      <c r="E572" s="6"/>
      <c r="O572" s="5"/>
    </row>
    <row r="573" spans="1:15" ht="12.75">
      <c r="A573" s="2"/>
      <c r="B573" s="6"/>
      <c r="C573" s="3"/>
      <c r="D573" s="6"/>
      <c r="E573" s="6"/>
      <c r="O573" s="5"/>
    </row>
    <row r="574" spans="1:15" ht="12.75">
      <c r="A574" s="2"/>
      <c r="B574" s="6"/>
      <c r="C574" s="3"/>
      <c r="D574" s="6"/>
      <c r="E574" s="6"/>
      <c r="O574" s="5"/>
    </row>
    <row r="575" spans="1:15" ht="12.75">
      <c r="A575" s="2"/>
      <c r="B575" s="6"/>
      <c r="C575" s="3"/>
      <c r="D575" s="6"/>
      <c r="E575" s="6"/>
      <c r="O575" s="5"/>
    </row>
    <row r="576" spans="1:15" ht="12.75">
      <c r="A576" s="2"/>
      <c r="B576" s="6"/>
      <c r="C576" s="3"/>
      <c r="D576" s="6"/>
      <c r="E576" s="6"/>
      <c r="O576" s="5"/>
    </row>
    <row r="577" spans="1:15" ht="12.75">
      <c r="A577" s="2"/>
      <c r="B577" s="6"/>
      <c r="C577" s="3"/>
      <c r="D577" s="6"/>
      <c r="E577" s="6"/>
      <c r="O577" s="5"/>
    </row>
    <row r="578" spans="1:15" ht="12.75">
      <c r="A578" s="2"/>
      <c r="B578" s="6"/>
      <c r="C578" s="3"/>
      <c r="D578" s="6"/>
      <c r="E578" s="6"/>
      <c r="O578" s="5"/>
    </row>
    <row r="579" spans="1:15" ht="12.75">
      <c r="A579" s="2"/>
      <c r="B579" s="6"/>
      <c r="C579" s="3"/>
      <c r="D579" s="6"/>
      <c r="E579" s="6"/>
      <c r="O579" s="5"/>
    </row>
    <row r="580" spans="1:15" ht="12.75">
      <c r="A580" s="2"/>
      <c r="B580" s="6"/>
      <c r="C580" s="3"/>
      <c r="D580" s="6"/>
      <c r="E580" s="6"/>
      <c r="O580" s="5"/>
    </row>
    <row r="581" spans="1:15" ht="12.75">
      <c r="A581" s="2"/>
      <c r="B581" s="6"/>
      <c r="C581" s="3"/>
      <c r="D581" s="6"/>
      <c r="E581" s="6"/>
      <c r="O581" s="5"/>
    </row>
    <row r="582" spans="1:15" ht="12.75">
      <c r="A582" s="2"/>
      <c r="B582" s="6"/>
      <c r="C582" s="3"/>
      <c r="D582" s="6"/>
      <c r="E582" s="6"/>
      <c r="O582" s="5"/>
    </row>
    <row r="583" spans="1:15" ht="12.75">
      <c r="A583" s="2"/>
      <c r="B583" s="6"/>
      <c r="C583" s="3"/>
      <c r="D583" s="6"/>
      <c r="E583" s="6"/>
      <c r="O583" s="5"/>
    </row>
    <row r="584" spans="1:15" ht="12.75">
      <c r="A584" s="2"/>
      <c r="B584" s="6"/>
      <c r="C584" s="3"/>
      <c r="D584" s="6"/>
      <c r="E584" s="6"/>
      <c r="O584" s="5"/>
    </row>
    <row r="585" spans="1:15" ht="12.75">
      <c r="A585" s="2"/>
      <c r="B585" s="6"/>
      <c r="C585" s="3"/>
      <c r="D585" s="6"/>
      <c r="E585" s="6"/>
      <c r="O585" s="5"/>
    </row>
    <row r="586" spans="1:15" ht="12.75">
      <c r="A586" s="2"/>
      <c r="B586" s="6"/>
      <c r="C586" s="3"/>
      <c r="D586" s="6"/>
      <c r="E586" s="6"/>
      <c r="O586" s="5"/>
    </row>
    <row r="587" spans="1:15" ht="12.75">
      <c r="A587" s="2"/>
      <c r="B587" s="6"/>
      <c r="C587" s="3"/>
      <c r="D587" s="6"/>
      <c r="E587" s="6"/>
      <c r="O587" s="5"/>
    </row>
    <row r="588" spans="1:15" ht="12.75">
      <c r="A588" s="2"/>
      <c r="B588" s="6"/>
      <c r="C588" s="3"/>
      <c r="D588" s="6"/>
      <c r="E588" s="6"/>
      <c r="O588" s="5"/>
    </row>
    <row r="589" spans="1:15" ht="12.75">
      <c r="A589" s="2"/>
      <c r="B589" s="6"/>
      <c r="C589" s="3"/>
      <c r="D589" s="6"/>
      <c r="E589" s="6"/>
      <c r="O589" s="5"/>
    </row>
    <row r="590" spans="1:15" ht="12.75">
      <c r="A590" s="2"/>
      <c r="B590" s="6"/>
      <c r="C590" s="3"/>
      <c r="D590" s="6"/>
      <c r="E590" s="6"/>
      <c r="O590" s="5"/>
    </row>
    <row r="591" spans="1:15" ht="12.75">
      <c r="A591" s="2"/>
      <c r="B591" s="6"/>
      <c r="C591" s="3"/>
      <c r="D591" s="6"/>
      <c r="E591" s="6"/>
      <c r="O591" s="5"/>
    </row>
    <row r="592" spans="1:15" ht="12.75">
      <c r="A592" s="2"/>
      <c r="B592" s="6"/>
      <c r="C592" s="3"/>
      <c r="D592" s="6"/>
      <c r="E592" s="6"/>
      <c r="O592" s="5"/>
    </row>
    <row r="593" spans="1:15" ht="12.75">
      <c r="A593" s="2"/>
      <c r="B593" s="6"/>
      <c r="C593" s="3"/>
      <c r="D593" s="6"/>
      <c r="E593" s="6"/>
      <c r="O593" s="5"/>
    </row>
    <row r="594" spans="1:15" ht="12.75">
      <c r="A594" s="2"/>
      <c r="B594" s="6"/>
      <c r="C594" s="3"/>
      <c r="D594" s="6"/>
      <c r="E594" s="6"/>
      <c r="O594" s="5"/>
    </row>
    <row r="595" spans="1:15" ht="12.75">
      <c r="A595" s="2"/>
      <c r="B595" s="6"/>
      <c r="C595" s="3"/>
      <c r="D595" s="6"/>
      <c r="E595" s="6"/>
      <c r="O595" s="5"/>
    </row>
    <row r="596" spans="1:15" ht="12.75">
      <c r="A596" s="2"/>
      <c r="B596" s="6"/>
      <c r="C596" s="3"/>
      <c r="D596" s="6"/>
      <c r="E596" s="6"/>
      <c r="O596" s="5"/>
    </row>
    <row r="597" spans="1:15" ht="12.75">
      <c r="A597" s="2"/>
      <c r="B597" s="6"/>
      <c r="C597" s="3"/>
      <c r="D597" s="6"/>
      <c r="E597" s="6"/>
      <c r="O597" s="5"/>
    </row>
    <row r="598" spans="1:15" ht="12.75">
      <c r="A598" s="2"/>
      <c r="B598" s="6"/>
      <c r="C598" s="3"/>
      <c r="D598" s="6"/>
      <c r="E598" s="6"/>
      <c r="O598" s="5"/>
    </row>
    <row r="599" spans="1:15" ht="12.75">
      <c r="A599" s="2"/>
      <c r="B599" s="6"/>
      <c r="C599" s="3"/>
      <c r="D599" s="6"/>
      <c r="E599" s="6"/>
      <c r="O599" s="5"/>
    </row>
    <row r="600" spans="1:15" ht="12.75">
      <c r="A600" s="2"/>
      <c r="B600" s="6"/>
      <c r="C600" s="3"/>
      <c r="D600" s="6"/>
      <c r="E600" s="6"/>
      <c r="O600" s="5"/>
    </row>
    <row r="601" spans="1:15" ht="12.75">
      <c r="A601" s="2"/>
      <c r="B601" s="6"/>
      <c r="C601" s="3"/>
      <c r="D601" s="6"/>
      <c r="E601" s="6"/>
      <c r="O601" s="5"/>
    </row>
    <row r="602" spans="1:15" ht="12.75">
      <c r="A602" s="2"/>
      <c r="B602" s="6"/>
      <c r="C602" s="3"/>
      <c r="D602" s="6"/>
      <c r="E602" s="6"/>
      <c r="O602" s="5"/>
    </row>
    <row r="603" spans="1:15" ht="12.75">
      <c r="A603" s="2"/>
      <c r="B603" s="6"/>
      <c r="C603" s="3"/>
      <c r="D603" s="6"/>
      <c r="E603" s="6"/>
      <c r="O603" s="5"/>
    </row>
    <row r="604" spans="1:15" ht="12.75">
      <c r="A604" s="2"/>
      <c r="B604" s="6"/>
      <c r="C604" s="3"/>
      <c r="D604" s="6"/>
      <c r="E604" s="6"/>
      <c r="O604" s="5"/>
    </row>
    <row r="605" spans="1:15" ht="12.75">
      <c r="A605" s="2"/>
      <c r="B605" s="6"/>
      <c r="C605" s="3"/>
      <c r="D605" s="6"/>
      <c r="E605" s="6"/>
      <c r="O605" s="5"/>
    </row>
    <row r="606" spans="1:15" ht="12.75">
      <c r="A606" s="2"/>
      <c r="B606" s="6"/>
      <c r="C606" s="3"/>
      <c r="D606" s="6"/>
      <c r="E606" s="6"/>
      <c r="O606" s="5"/>
    </row>
    <row r="607" spans="1:15" ht="12.75">
      <c r="A607" s="2"/>
      <c r="B607" s="6"/>
      <c r="C607" s="3"/>
      <c r="D607" s="6"/>
      <c r="E607" s="6"/>
      <c r="O607" s="5"/>
    </row>
    <row r="608" spans="1:15" ht="12.75">
      <c r="A608" s="2"/>
      <c r="B608" s="6"/>
      <c r="C608" s="3"/>
      <c r="D608" s="6"/>
      <c r="E608" s="6"/>
      <c r="O608" s="5"/>
    </row>
    <row r="609" spans="1:15" ht="12.75">
      <c r="A609" s="2"/>
      <c r="B609" s="6"/>
      <c r="C609" s="3"/>
      <c r="D609" s="6"/>
      <c r="E609" s="6"/>
      <c r="O609" s="5"/>
    </row>
    <row r="610" spans="1:15" ht="12.75">
      <c r="A610" s="2"/>
      <c r="B610" s="6"/>
      <c r="C610" s="3"/>
      <c r="D610" s="6"/>
      <c r="E610" s="6"/>
      <c r="O610" s="5"/>
    </row>
    <row r="611" spans="1:15" ht="12.75">
      <c r="A611" s="2"/>
      <c r="B611" s="6"/>
      <c r="C611" s="3"/>
      <c r="D611" s="6"/>
      <c r="E611" s="6"/>
      <c r="O611" s="5"/>
    </row>
    <row r="612" spans="1:15" ht="12.75">
      <c r="A612" s="2"/>
      <c r="B612" s="6"/>
      <c r="C612" s="3"/>
      <c r="D612" s="6"/>
      <c r="E612" s="6"/>
      <c r="O612" s="5"/>
    </row>
    <row r="613" spans="1:15" ht="12.75">
      <c r="A613" s="2"/>
      <c r="B613" s="6"/>
      <c r="C613" s="3"/>
      <c r="D613" s="6"/>
      <c r="E613" s="6"/>
      <c r="O613" s="5"/>
    </row>
    <row r="614" spans="1:15" ht="12.75">
      <c r="A614" s="2"/>
      <c r="B614" s="6"/>
      <c r="C614" s="3"/>
      <c r="D614" s="6"/>
      <c r="E614" s="6"/>
      <c r="O614" s="5"/>
    </row>
    <row r="615" spans="1:15" ht="12.75">
      <c r="A615" s="2"/>
      <c r="B615" s="6"/>
      <c r="C615" s="3"/>
      <c r="D615" s="6"/>
      <c r="E615" s="6"/>
      <c r="O615" s="5"/>
    </row>
    <row r="616" spans="1:15" ht="12.75">
      <c r="A616" s="2"/>
      <c r="B616" s="6"/>
      <c r="C616" s="3"/>
      <c r="D616" s="6"/>
      <c r="E616" s="6"/>
      <c r="O616" s="5"/>
    </row>
    <row r="617" spans="1:15" ht="12.75">
      <c r="A617" s="2"/>
      <c r="B617" s="6"/>
      <c r="C617" s="3"/>
      <c r="D617" s="6"/>
      <c r="E617" s="6"/>
      <c r="O617" s="5"/>
    </row>
    <row r="618" spans="1:15" ht="12.75">
      <c r="A618" s="2"/>
      <c r="B618" s="6"/>
      <c r="C618" s="3"/>
      <c r="D618" s="6"/>
      <c r="E618" s="6"/>
      <c r="O618" s="5"/>
    </row>
    <row r="619" spans="1:15" ht="12.75">
      <c r="A619" s="2"/>
      <c r="B619" s="6"/>
      <c r="C619" s="3"/>
      <c r="D619" s="6"/>
      <c r="E619" s="6"/>
      <c r="O619" s="5"/>
    </row>
    <row r="620" spans="1:15" ht="12.75">
      <c r="A620" s="2"/>
      <c r="B620" s="6"/>
      <c r="C620" s="3"/>
      <c r="D620" s="6"/>
      <c r="E620" s="6"/>
      <c r="O620" s="5"/>
    </row>
    <row r="621" spans="1:15" ht="12.75">
      <c r="A621" s="2"/>
      <c r="B621" s="6"/>
      <c r="C621" s="6"/>
      <c r="D621" s="6"/>
      <c r="E621" s="6"/>
      <c r="O621" s="5"/>
    </row>
    <row r="622" spans="1:15" ht="12.75">
      <c r="A622" s="2"/>
      <c r="B622" s="6"/>
      <c r="C622" s="6"/>
      <c r="D622" s="6"/>
      <c r="E622" s="6"/>
      <c r="O622" s="5"/>
    </row>
    <row r="623" spans="1:15" ht="12.75">
      <c r="A623" s="2"/>
      <c r="B623" s="6"/>
      <c r="C623" s="6"/>
      <c r="D623" s="6"/>
      <c r="E623" s="6"/>
      <c r="O623" s="5"/>
    </row>
    <row r="624" spans="1:15" ht="12.75">
      <c r="A624" s="2"/>
      <c r="B624" s="6"/>
      <c r="C624" s="6"/>
      <c r="D624" s="6"/>
      <c r="E624" s="6"/>
      <c r="O624" s="5"/>
    </row>
    <row r="625" spans="1:15" ht="12.75">
      <c r="A625" s="2"/>
      <c r="B625" s="6"/>
      <c r="C625" s="6"/>
      <c r="D625" s="6"/>
      <c r="E625" s="6"/>
      <c r="O625" s="5"/>
    </row>
    <row r="626" spans="1:15" ht="12.75">
      <c r="A626" s="2"/>
      <c r="B626" s="6"/>
      <c r="C626" s="6"/>
      <c r="D626" s="6"/>
      <c r="E626" s="6"/>
      <c r="O626" s="5"/>
    </row>
    <row r="627" spans="1:15" ht="12.75">
      <c r="A627" s="2"/>
      <c r="B627" s="6"/>
      <c r="C627" s="6"/>
      <c r="D627" s="6"/>
      <c r="E627" s="6"/>
      <c r="O627" s="5"/>
    </row>
    <row r="628" spans="1:15" ht="12.75">
      <c r="A628" s="2"/>
      <c r="B628" s="6"/>
      <c r="C628" s="6"/>
      <c r="D628" s="6"/>
      <c r="E628" s="6"/>
      <c r="O628" s="5"/>
    </row>
    <row r="629" spans="1:15" ht="12.75">
      <c r="A629" s="2"/>
      <c r="B629" s="6"/>
      <c r="C629" s="6"/>
      <c r="D629" s="6"/>
      <c r="E629" s="6"/>
      <c r="O629" s="5"/>
    </row>
    <row r="630" spans="1:15" ht="12.75">
      <c r="A630" s="2"/>
      <c r="B630" s="6"/>
      <c r="C630" s="6"/>
      <c r="D630" s="6"/>
      <c r="E630" s="6"/>
      <c r="O630" s="5"/>
    </row>
    <row r="631" spans="1:15" ht="12.75">
      <c r="A631" s="2"/>
      <c r="B631" s="6"/>
      <c r="C631" s="6"/>
      <c r="D631" s="6"/>
      <c r="E631" s="6"/>
      <c r="O631" s="5"/>
    </row>
    <row r="632" spans="1:15" ht="12.75">
      <c r="A632" s="2"/>
      <c r="B632" s="6"/>
      <c r="C632" s="6"/>
      <c r="D632" s="6"/>
      <c r="E632" s="6"/>
      <c r="O632" s="5"/>
    </row>
    <row r="633" spans="1:15" ht="12.75">
      <c r="A633" s="2"/>
      <c r="B633" s="6"/>
      <c r="C633" s="6"/>
      <c r="D633" s="6"/>
      <c r="E633" s="6"/>
      <c r="O633" s="5"/>
    </row>
    <row r="634" spans="1:15" ht="12.75">
      <c r="A634" s="2"/>
      <c r="B634" s="6"/>
      <c r="C634" s="6"/>
      <c r="D634" s="6"/>
      <c r="E634" s="6"/>
      <c r="O634" s="5"/>
    </row>
    <row r="635" spans="1:15" ht="12.75">
      <c r="A635" s="2"/>
      <c r="B635" s="6"/>
      <c r="C635" s="6"/>
      <c r="D635" s="6"/>
      <c r="E635" s="6"/>
      <c r="O635" s="5"/>
    </row>
    <row r="636" spans="1:15" ht="12.75">
      <c r="A636" s="2"/>
      <c r="B636" s="6"/>
      <c r="C636" s="6"/>
      <c r="D636" s="6"/>
      <c r="E636" s="6"/>
      <c r="O636" s="5"/>
    </row>
    <row r="637" spans="1:15" ht="12.75">
      <c r="A637" s="2"/>
      <c r="B637" s="6"/>
      <c r="C637" s="6"/>
      <c r="D637" s="6"/>
      <c r="E637" s="6"/>
      <c r="O637" s="5"/>
    </row>
    <row r="638" spans="1:15" ht="12.75">
      <c r="A638" s="2"/>
      <c r="B638" s="6"/>
      <c r="C638" s="6"/>
      <c r="D638" s="6"/>
      <c r="E638" s="6"/>
      <c r="O638" s="5"/>
    </row>
    <row r="639" spans="1:15" ht="12.75">
      <c r="A639" s="2"/>
      <c r="B639" s="6"/>
      <c r="C639" s="6"/>
      <c r="D639" s="6"/>
      <c r="E639" s="6"/>
      <c r="O639" s="5"/>
    </row>
    <row r="640" spans="1:15" ht="12.75">
      <c r="A640" s="2"/>
      <c r="B640" s="6"/>
      <c r="C640" s="6"/>
      <c r="D640" s="6"/>
      <c r="E640" s="6"/>
      <c r="O640" s="5"/>
    </row>
    <row r="641" spans="1:15" ht="12.75">
      <c r="A641" s="2"/>
      <c r="B641" s="6"/>
      <c r="C641" s="6"/>
      <c r="D641" s="6"/>
      <c r="E641" s="6"/>
      <c r="O641" s="5"/>
    </row>
    <row r="642" spans="1:15" ht="12.75">
      <c r="A642" s="2"/>
      <c r="B642" s="6"/>
      <c r="C642" s="6"/>
      <c r="D642" s="6"/>
      <c r="E642" s="6"/>
      <c r="O642" s="5"/>
    </row>
    <row r="643" spans="1:15" ht="12.75">
      <c r="A643" s="2"/>
      <c r="B643" s="6"/>
      <c r="C643" s="6"/>
      <c r="D643" s="6"/>
      <c r="E643" s="6"/>
      <c r="O643" s="5"/>
    </row>
    <row r="644" spans="1:15" ht="12.75">
      <c r="A644" s="2"/>
      <c r="B644" s="6"/>
      <c r="C644" s="6"/>
      <c r="D644" s="6"/>
      <c r="E644" s="6"/>
      <c r="O644" s="5"/>
    </row>
    <row r="645" spans="1:15" ht="12.75">
      <c r="A645" s="2"/>
      <c r="B645" s="6"/>
      <c r="C645" s="6"/>
      <c r="D645" s="6"/>
      <c r="E645" s="6"/>
      <c r="O645" s="5"/>
    </row>
    <row r="646" spans="1:15" ht="12.75">
      <c r="A646" s="2"/>
      <c r="B646" s="6"/>
      <c r="C646" s="6"/>
      <c r="D646" s="6"/>
      <c r="E646" s="6"/>
      <c r="O646" s="5"/>
    </row>
    <row r="647" spans="1:15" ht="12.75">
      <c r="A647" s="2"/>
      <c r="B647" s="6"/>
      <c r="C647" s="6"/>
      <c r="D647" s="6"/>
      <c r="E647" s="6"/>
      <c r="O647" s="5"/>
    </row>
    <row r="648" spans="1:15" ht="12.75">
      <c r="A648" s="2"/>
      <c r="B648" s="6"/>
      <c r="C648" s="6"/>
      <c r="D648" s="6"/>
      <c r="E648" s="6"/>
      <c r="O648" s="5"/>
    </row>
    <row r="649" spans="1:15" ht="12.75">
      <c r="A649" s="2"/>
      <c r="B649" s="6"/>
      <c r="C649" s="6"/>
      <c r="D649" s="6"/>
      <c r="E649" s="6"/>
      <c r="O649" s="5"/>
    </row>
    <row r="650" spans="1:15" ht="12.75">
      <c r="A650" s="2"/>
      <c r="B650" s="6"/>
      <c r="C650" s="6"/>
      <c r="D650" s="6"/>
      <c r="E650" s="6"/>
      <c r="O650" s="5"/>
    </row>
    <row r="651" spans="1:15" ht="12.75">
      <c r="A651" s="2"/>
      <c r="B651" s="6"/>
      <c r="C651" s="6"/>
      <c r="D651" s="6"/>
      <c r="E651" s="6"/>
      <c r="O651" s="5"/>
    </row>
    <row r="652" spans="1:15" ht="12.75">
      <c r="A652" s="2"/>
      <c r="B652" s="6"/>
      <c r="C652" s="6"/>
      <c r="D652" s="6"/>
      <c r="E652" s="6"/>
      <c r="O652" s="5"/>
    </row>
    <row r="653" spans="1:15" ht="12.75">
      <c r="A653" s="2"/>
      <c r="B653" s="6"/>
      <c r="C653" s="6"/>
      <c r="D653" s="6"/>
      <c r="E653" s="6"/>
      <c r="O653" s="5"/>
    </row>
    <row r="654" spans="1:15" ht="12.75">
      <c r="A654" s="2"/>
      <c r="B654" s="6"/>
      <c r="C654" s="6"/>
      <c r="D654" s="6"/>
      <c r="E654" s="6"/>
      <c r="O654" s="5"/>
    </row>
    <row r="655" spans="1:15" ht="12.75">
      <c r="A655" s="2"/>
      <c r="B655" s="6"/>
      <c r="C655" s="6"/>
      <c r="D655" s="6"/>
      <c r="E655" s="6"/>
      <c r="O655" s="5"/>
    </row>
    <row r="656" spans="1:15" ht="12.75">
      <c r="A656" s="2"/>
      <c r="B656" s="6"/>
      <c r="C656" s="6"/>
      <c r="D656" s="6"/>
      <c r="E656" s="6"/>
      <c r="O656" s="5"/>
    </row>
    <row r="657" spans="1:15" ht="12.75">
      <c r="A657" s="2"/>
      <c r="B657" s="6"/>
      <c r="C657" s="6"/>
      <c r="D657" s="6"/>
      <c r="E657" s="6"/>
      <c r="O657" s="5"/>
    </row>
    <row r="658" spans="1:15" ht="12.75">
      <c r="A658" s="2"/>
      <c r="B658" s="6"/>
      <c r="C658" s="6"/>
      <c r="D658" s="6"/>
      <c r="E658" s="6"/>
      <c r="O658" s="5"/>
    </row>
    <row r="659" spans="1:15" ht="12.75">
      <c r="A659" s="2"/>
      <c r="B659" s="6"/>
      <c r="C659" s="6"/>
      <c r="D659" s="6"/>
      <c r="E659" s="6"/>
      <c r="O659" s="5"/>
    </row>
    <row r="660" spans="1:15" ht="12.75">
      <c r="A660" s="2"/>
      <c r="B660" s="6"/>
      <c r="C660" s="6"/>
      <c r="D660" s="6"/>
      <c r="E660" s="6"/>
      <c r="O660" s="5"/>
    </row>
    <row r="661" spans="1:15" ht="12.75">
      <c r="A661" s="2"/>
      <c r="B661" s="6"/>
      <c r="C661" s="6"/>
      <c r="D661" s="6"/>
      <c r="E661" s="6"/>
      <c r="O661" s="5"/>
    </row>
    <row r="662" spans="1:15" ht="12.75">
      <c r="A662" s="2"/>
      <c r="B662" s="6"/>
      <c r="C662" s="6"/>
      <c r="D662" s="6"/>
      <c r="E662" s="6"/>
      <c r="O662" s="5"/>
    </row>
    <row r="663" spans="1:15" ht="12.75">
      <c r="A663" s="2"/>
      <c r="B663" s="6"/>
      <c r="C663" s="6"/>
      <c r="D663" s="6"/>
      <c r="E663" s="6"/>
      <c r="O663" s="5"/>
    </row>
    <row r="664" spans="1:15" ht="12.75">
      <c r="A664" s="2"/>
      <c r="B664" s="6"/>
      <c r="C664" s="6"/>
      <c r="D664" s="6"/>
      <c r="E664" s="6"/>
      <c r="O664" s="5"/>
    </row>
    <row r="665" spans="1:15" ht="12.75">
      <c r="A665" s="2"/>
      <c r="B665" s="6"/>
      <c r="C665" s="6"/>
      <c r="D665" s="6"/>
      <c r="E665" s="6"/>
      <c r="O665" s="5"/>
    </row>
    <row r="666" spans="1:15" ht="12.75">
      <c r="A666" s="2"/>
      <c r="B666" s="6"/>
      <c r="C666" s="6"/>
      <c r="D666" s="6"/>
      <c r="E666" s="6"/>
      <c r="O666" s="5"/>
    </row>
    <row r="667" spans="1:15" ht="12.75">
      <c r="A667" s="2"/>
      <c r="B667" s="6"/>
      <c r="C667" s="6"/>
      <c r="D667" s="6"/>
      <c r="E667" s="6"/>
      <c r="O667" s="5"/>
    </row>
    <row r="668" spans="1:15" ht="12.75">
      <c r="A668" s="2"/>
      <c r="B668" s="6"/>
      <c r="C668" s="6"/>
      <c r="D668" s="6"/>
      <c r="E668" s="6"/>
      <c r="O668" s="5"/>
    </row>
    <row r="669" spans="1:15" ht="12.75">
      <c r="A669" s="2"/>
      <c r="B669" s="6"/>
      <c r="C669" s="6"/>
      <c r="D669" s="6"/>
      <c r="E669" s="6"/>
      <c r="O669" s="5"/>
    </row>
    <row r="670" spans="1:15" ht="12.75">
      <c r="A670" s="2"/>
      <c r="B670" s="6"/>
      <c r="C670" s="6"/>
      <c r="D670" s="6"/>
      <c r="E670" s="6"/>
      <c r="O670" s="5"/>
    </row>
    <row r="671" spans="1:15" ht="12.75">
      <c r="A671" s="2"/>
      <c r="B671" s="6"/>
      <c r="C671" s="6"/>
      <c r="D671" s="6"/>
      <c r="E671" s="6"/>
      <c r="O671" s="5"/>
    </row>
    <row r="672" spans="1:15" ht="12.75">
      <c r="A672" s="2"/>
      <c r="B672" s="6"/>
      <c r="C672" s="6"/>
      <c r="D672" s="6"/>
      <c r="E672" s="6"/>
      <c r="O672" s="5"/>
    </row>
    <row r="673" spans="1:15" ht="12.75">
      <c r="A673" s="2"/>
      <c r="B673" s="6"/>
      <c r="C673" s="6"/>
      <c r="D673" s="6"/>
      <c r="E673" s="6"/>
      <c r="O673" s="5"/>
    </row>
    <row r="674" spans="1:15" ht="12.75">
      <c r="A674" s="2"/>
      <c r="B674" s="6"/>
      <c r="C674" s="6"/>
      <c r="D674" s="6"/>
      <c r="E674" s="6"/>
      <c r="O674" s="5"/>
    </row>
    <row r="675" spans="1:15" ht="12.75">
      <c r="A675" s="2"/>
      <c r="B675" s="6"/>
      <c r="C675" s="6"/>
      <c r="D675" s="6"/>
      <c r="E675" s="6"/>
      <c r="O675" s="5"/>
    </row>
    <row r="676" spans="1:15" ht="12.75">
      <c r="A676" s="2"/>
      <c r="B676" s="6"/>
      <c r="C676" s="6"/>
      <c r="D676" s="6"/>
      <c r="E676" s="6"/>
      <c r="O676" s="5"/>
    </row>
    <row r="677" spans="1:15" ht="12.75">
      <c r="A677" s="2"/>
      <c r="B677" s="6"/>
      <c r="C677" s="6"/>
      <c r="D677" s="6"/>
      <c r="E677" s="6"/>
      <c r="O677" s="5"/>
    </row>
    <row r="678" spans="1:15" ht="12.75">
      <c r="A678" s="2"/>
      <c r="B678" s="6"/>
      <c r="C678" s="6"/>
      <c r="D678" s="6"/>
      <c r="E678" s="6"/>
      <c r="O678" s="5"/>
    </row>
    <row r="679" spans="1:15" ht="12.75">
      <c r="A679" s="2"/>
      <c r="B679" s="6"/>
      <c r="C679" s="6"/>
      <c r="D679" s="6"/>
      <c r="E679" s="6"/>
      <c r="O679" s="5"/>
    </row>
    <row r="680" spans="1:15" ht="12.75">
      <c r="A680" s="2"/>
      <c r="B680" s="6"/>
      <c r="C680" s="6"/>
      <c r="D680" s="6"/>
      <c r="E680" s="6"/>
      <c r="O680" s="5"/>
    </row>
    <row r="681" spans="1:15" ht="12.75">
      <c r="A681" s="2"/>
      <c r="B681" s="6"/>
      <c r="C681" s="6"/>
      <c r="D681" s="6"/>
      <c r="E681" s="6"/>
      <c r="O681" s="5"/>
    </row>
    <row r="682" spans="1:15" ht="12.75">
      <c r="A682" s="2"/>
      <c r="B682" s="6"/>
      <c r="C682" s="6"/>
      <c r="D682" s="6"/>
      <c r="E682" s="6"/>
      <c r="O682" s="5"/>
    </row>
    <row r="683" spans="1:15" ht="12.75">
      <c r="A683" s="2"/>
      <c r="B683" s="6"/>
      <c r="C683" s="6"/>
      <c r="D683" s="6"/>
      <c r="E683" s="6"/>
      <c r="O683" s="5"/>
    </row>
    <row r="684" spans="1:15" ht="12.75">
      <c r="A684" s="2"/>
      <c r="B684" s="6"/>
      <c r="C684" s="6"/>
      <c r="D684" s="6"/>
      <c r="E684" s="6"/>
      <c r="O684" s="5"/>
    </row>
    <row r="685" spans="1:15" ht="12.75">
      <c r="A685" s="2"/>
      <c r="B685" s="6"/>
      <c r="O685" s="5"/>
    </row>
    <row r="686" spans="1:15" ht="12.75">
      <c r="A686" s="2"/>
      <c r="B686" s="6"/>
      <c r="O686" s="5"/>
    </row>
    <row r="687" spans="1:15" ht="12.75">
      <c r="A687" s="2"/>
      <c r="B687" s="6"/>
      <c r="O687" s="5"/>
    </row>
    <row r="688" spans="1:15" ht="12.75">
      <c r="A688" s="2"/>
      <c r="B688" s="6"/>
      <c r="O688" s="5"/>
    </row>
    <row r="689" spans="1:15" ht="12.75">
      <c r="A689" s="2"/>
      <c r="B689" s="6"/>
      <c r="O689" s="5"/>
    </row>
    <row r="690" spans="1:15" ht="12.75">
      <c r="A690" s="2"/>
      <c r="B690" s="6"/>
      <c r="O690" s="5"/>
    </row>
    <row r="691" spans="1:15" ht="12.75">
      <c r="A691" s="2"/>
      <c r="B691" s="6"/>
      <c r="O691" s="5"/>
    </row>
    <row r="692" spans="1:15" ht="12.75">
      <c r="A692" s="2"/>
      <c r="B692" s="6"/>
      <c r="O692" s="5"/>
    </row>
    <row r="693" spans="1:15" ht="12.75">
      <c r="A693" s="2"/>
      <c r="B693" s="6"/>
      <c r="O693" s="5"/>
    </row>
    <row r="694" spans="1:15" ht="12.75">
      <c r="A694" s="2"/>
      <c r="B694" s="6"/>
      <c r="O694" s="5"/>
    </row>
    <row r="695" spans="1:15" ht="12.75">
      <c r="A695" s="2"/>
      <c r="B695" s="6"/>
      <c r="O695" s="5"/>
    </row>
    <row r="696" spans="1:15" ht="12.75">
      <c r="A696" s="2"/>
      <c r="B696" s="6"/>
      <c r="O696" s="5"/>
    </row>
    <row r="697" spans="1:15" ht="12.75">
      <c r="A697" s="2"/>
      <c r="B697" s="6"/>
      <c r="O697" s="5"/>
    </row>
    <row r="698" spans="1:15" ht="12.75">
      <c r="A698" s="2"/>
      <c r="B698" s="6"/>
      <c r="O698" s="5"/>
    </row>
    <row r="699" spans="1:15" ht="12.75">
      <c r="A699" s="2"/>
      <c r="B699" s="6"/>
      <c r="O699" s="5"/>
    </row>
    <row r="700" spans="1:15" ht="12.75">
      <c r="A700" s="2"/>
      <c r="B700" s="6"/>
      <c r="O700" s="5"/>
    </row>
    <row r="701" spans="1:15" ht="12.75">
      <c r="A701" s="2"/>
      <c r="B701" s="6"/>
      <c r="O701" s="5"/>
    </row>
    <row r="702" spans="1:15" ht="12.75">
      <c r="A702" s="2"/>
      <c r="B702" s="6"/>
      <c r="O702" s="5"/>
    </row>
    <row r="703" spans="1:15" ht="12.75">
      <c r="A703" s="2"/>
      <c r="B703" s="6"/>
      <c r="O703" s="5"/>
    </row>
    <row r="704" spans="1:15" ht="12.75">
      <c r="A704" s="2"/>
      <c r="B704" s="6"/>
      <c r="O704" s="5"/>
    </row>
    <row r="705" spans="1:15" ht="12.75">
      <c r="A705" s="2"/>
      <c r="B705" s="6"/>
      <c r="O705" s="5"/>
    </row>
    <row r="706" spans="1:15" ht="12.75">
      <c r="A706" s="2"/>
      <c r="B706" s="6"/>
      <c r="O706" s="5"/>
    </row>
    <row r="707" spans="1:15" ht="12.75">
      <c r="A707" s="2"/>
      <c r="B707" s="6"/>
      <c r="O707" s="5"/>
    </row>
    <row r="708" spans="1:15" ht="12.75">
      <c r="A708" s="2"/>
      <c r="B708" s="6"/>
      <c r="O708" s="5"/>
    </row>
    <row r="709" spans="1:15" ht="12.75">
      <c r="A709" s="2"/>
      <c r="B709" s="6"/>
      <c r="O709" s="5"/>
    </row>
    <row r="710" spans="1:15" ht="12.75">
      <c r="A710" s="2"/>
      <c r="B710" s="6"/>
      <c r="O710" s="5"/>
    </row>
    <row r="711" spans="1:15" ht="12.75">
      <c r="A711" s="2"/>
      <c r="B711" s="6"/>
      <c r="O711" s="5"/>
    </row>
    <row r="712" spans="1:15" ht="12.75">
      <c r="A712" s="2"/>
      <c r="B712" s="6"/>
      <c r="O712" s="5"/>
    </row>
    <row r="713" spans="1:15" ht="12.75">
      <c r="A713" s="2"/>
      <c r="B713" s="6"/>
      <c r="O713" s="5"/>
    </row>
    <row r="714" spans="1:15" ht="12.75">
      <c r="A714" s="2"/>
      <c r="B714" s="6"/>
      <c r="O714" s="5"/>
    </row>
    <row r="715" spans="1:15" ht="12.75">
      <c r="A715" s="2"/>
      <c r="B715" s="6"/>
      <c r="O715" s="5"/>
    </row>
    <row r="716" spans="1:15" ht="12.75">
      <c r="A716" s="2"/>
      <c r="B716" s="6"/>
      <c r="O716" s="5"/>
    </row>
    <row r="717" spans="1:15" ht="12.75">
      <c r="A717" s="2"/>
      <c r="B717" s="6"/>
      <c r="O717" s="5"/>
    </row>
    <row r="718" spans="1:15" ht="12.75">
      <c r="A718" s="2"/>
      <c r="B718" s="6"/>
      <c r="O718" s="5"/>
    </row>
    <row r="719" spans="1:15" ht="12.75">
      <c r="A719" s="2"/>
      <c r="B719" s="6"/>
      <c r="O719" s="5"/>
    </row>
    <row r="720" spans="1:15" ht="12.75">
      <c r="A720" s="2"/>
      <c r="B720" s="6"/>
      <c r="O720" s="5"/>
    </row>
    <row r="721" spans="1:15" ht="12.75">
      <c r="A721" s="2"/>
      <c r="B721" s="6"/>
      <c r="O721" s="5"/>
    </row>
    <row r="722" spans="1:15" ht="12.75">
      <c r="A722" s="2"/>
      <c r="B722" s="6"/>
      <c r="O722" s="5"/>
    </row>
    <row r="723" spans="1:15" ht="12.75">
      <c r="A723" s="2"/>
      <c r="B723" s="6"/>
      <c r="O723" s="5"/>
    </row>
    <row r="724" spans="1:15" ht="12.75">
      <c r="A724" s="2"/>
      <c r="B724" s="6"/>
      <c r="O724" s="5"/>
    </row>
    <row r="725" spans="1:15" ht="12.75">
      <c r="A725" s="2"/>
      <c r="B725" s="6"/>
      <c r="O725" s="5"/>
    </row>
    <row r="726" spans="1:15" ht="12.75">
      <c r="A726" s="2"/>
      <c r="B726" s="6"/>
      <c r="O726" s="5"/>
    </row>
    <row r="727" spans="1:15" ht="12.75">
      <c r="A727" s="2"/>
      <c r="B727" s="6"/>
      <c r="O727" s="5"/>
    </row>
    <row r="728" spans="1:15" ht="12.75">
      <c r="A728" s="2"/>
      <c r="B728" s="6"/>
      <c r="O728" s="5"/>
    </row>
    <row r="729" spans="1:15" ht="12.75">
      <c r="A729" s="2"/>
      <c r="B729" s="6"/>
      <c r="O729" s="5"/>
    </row>
    <row r="730" spans="1:15" ht="12.75">
      <c r="A730" s="2"/>
      <c r="B730" s="6"/>
      <c r="O730" s="5"/>
    </row>
    <row r="731" spans="1:15" ht="12.75">
      <c r="A731" s="2"/>
      <c r="B731" s="6"/>
      <c r="O731" s="5"/>
    </row>
    <row r="732" spans="1:15" ht="12.75">
      <c r="A732" s="2"/>
      <c r="B732" s="6"/>
      <c r="O732" s="5"/>
    </row>
    <row r="733" spans="1:15" ht="12.75">
      <c r="A733" s="2"/>
      <c r="B733" s="6"/>
      <c r="O733" s="5"/>
    </row>
    <row r="734" spans="1:15" ht="12.75">
      <c r="A734" s="2"/>
      <c r="B734" s="6"/>
      <c r="O734" s="5"/>
    </row>
    <row r="735" spans="1:15" ht="12.75">
      <c r="A735" s="2"/>
      <c r="B735" s="6"/>
      <c r="O735" s="5"/>
    </row>
    <row r="736" spans="1:15" ht="12.75">
      <c r="A736" s="2"/>
      <c r="B736" s="6"/>
      <c r="O736" s="5"/>
    </row>
    <row r="737" spans="1:15" ht="12.75">
      <c r="A737" s="2"/>
      <c r="B737" s="6"/>
      <c r="O737" s="5"/>
    </row>
    <row r="738" spans="1:15" ht="12.75">
      <c r="A738" s="2"/>
      <c r="B738" s="6"/>
      <c r="O738" s="5"/>
    </row>
    <row r="739" spans="1:15" ht="12.75">
      <c r="A739" s="2"/>
      <c r="B739" s="6"/>
      <c r="O739" s="5"/>
    </row>
    <row r="740" spans="1:15" ht="12.75">
      <c r="A740" s="2"/>
      <c r="B740" s="6"/>
      <c r="O740" s="5"/>
    </row>
    <row r="741" spans="1:15" ht="12.75">
      <c r="A741" s="2"/>
      <c r="B741" s="6"/>
      <c r="O741" s="5"/>
    </row>
    <row r="742" spans="1:15" ht="12.75">
      <c r="A742" s="2"/>
      <c r="B742" s="6"/>
      <c r="O742" s="5"/>
    </row>
    <row r="743" spans="1:15" ht="12.75">
      <c r="A743" s="2"/>
      <c r="B743" s="6"/>
      <c r="O743" s="5"/>
    </row>
    <row r="744" spans="1:15" ht="12.75">
      <c r="A744" s="2"/>
      <c r="B744" s="6"/>
      <c r="O744" s="5"/>
    </row>
    <row r="745" spans="1:15" ht="12.75">
      <c r="A745" s="2"/>
      <c r="B745" s="6"/>
      <c r="O745" s="5"/>
    </row>
    <row r="746" spans="1:15" ht="12.75">
      <c r="A746" s="2"/>
      <c r="B746" s="6"/>
      <c r="O746" s="5"/>
    </row>
    <row r="747" spans="1:15" ht="12.75">
      <c r="A747" s="2"/>
      <c r="B747" s="6"/>
      <c r="O747" s="5"/>
    </row>
    <row r="748" spans="1:15" ht="12.75">
      <c r="A748" s="2"/>
      <c r="B748" s="6"/>
      <c r="O748" s="5"/>
    </row>
    <row r="749" spans="1:15" ht="12.75">
      <c r="A749" s="2"/>
      <c r="B749" s="6"/>
      <c r="O749" s="5"/>
    </row>
    <row r="750" spans="1:15" ht="12.75">
      <c r="A750" s="2"/>
      <c r="B750" s="6"/>
      <c r="O750" s="5"/>
    </row>
    <row r="751" spans="1:15" ht="12.75">
      <c r="A751" s="2"/>
      <c r="B751" s="6"/>
      <c r="O751" s="5"/>
    </row>
    <row r="752" spans="1:15" ht="12.75">
      <c r="A752" s="2"/>
      <c r="B752" s="6"/>
      <c r="O752" s="5"/>
    </row>
    <row r="753" spans="1:15" ht="12.75">
      <c r="A753" s="2"/>
      <c r="B753" s="6"/>
      <c r="O753" s="5"/>
    </row>
    <row r="754" spans="1:15" ht="12.75">
      <c r="A754" s="2"/>
      <c r="B754" s="6"/>
      <c r="O754" s="5"/>
    </row>
    <row r="755" spans="1:15" ht="12.75">
      <c r="A755" s="2"/>
      <c r="B755" s="6"/>
      <c r="O755" s="5"/>
    </row>
    <row r="756" spans="1:15" ht="12.75">
      <c r="A756" s="2"/>
      <c r="B756" s="6"/>
      <c r="O756" s="5"/>
    </row>
    <row r="757" spans="1:15" ht="12.75">
      <c r="A757" s="2"/>
      <c r="B757" s="6"/>
      <c r="O757" s="5"/>
    </row>
    <row r="758" spans="1:15" ht="12.75">
      <c r="A758" s="2"/>
      <c r="B758" s="6"/>
      <c r="O758" s="5"/>
    </row>
    <row r="759" spans="1:15" ht="12.75">
      <c r="A759" s="2"/>
      <c r="B759" s="6"/>
      <c r="O759" s="5"/>
    </row>
    <row r="760" spans="1:15" ht="12.75">
      <c r="A760" s="2"/>
      <c r="B760" s="6"/>
      <c r="O760" s="5"/>
    </row>
    <row r="761" spans="1:15" ht="12.75">
      <c r="A761" s="2"/>
      <c r="B761" s="6"/>
      <c r="O761" s="5"/>
    </row>
    <row r="762" spans="1:15" ht="12.75">
      <c r="A762" s="2"/>
      <c r="B762" s="6"/>
      <c r="O762" s="5"/>
    </row>
    <row r="763" spans="1:15" ht="12.75">
      <c r="A763" s="2"/>
      <c r="B763" s="6"/>
      <c r="O763" s="5"/>
    </row>
    <row r="764" spans="1:15" ht="12.75">
      <c r="A764" s="2"/>
      <c r="B764" s="6"/>
      <c r="O764" s="5"/>
    </row>
    <row r="765" spans="1:15" ht="12.75">
      <c r="A765" s="2"/>
      <c r="B765" s="6"/>
      <c r="O765" s="5"/>
    </row>
    <row r="766" spans="1:15" ht="12.75">
      <c r="A766" s="2"/>
      <c r="B766" s="6"/>
      <c r="O766" s="5"/>
    </row>
    <row r="767" spans="1:15" ht="12.75">
      <c r="A767" s="2"/>
      <c r="B767" s="6"/>
      <c r="O767" s="5"/>
    </row>
    <row r="768" spans="1:15" ht="12.75">
      <c r="A768" s="2"/>
      <c r="B768" s="6"/>
      <c r="O768" s="5"/>
    </row>
    <row r="769" spans="1:15" ht="12.75">
      <c r="A769" s="2"/>
      <c r="B769" s="6"/>
      <c r="O769" s="5"/>
    </row>
    <row r="770" spans="1:15" ht="12.75">
      <c r="A770" s="2"/>
      <c r="B770" s="6"/>
      <c r="O770" s="5"/>
    </row>
    <row r="771" spans="1:15" ht="12.75">
      <c r="A771" s="2"/>
      <c r="B771" s="6"/>
      <c r="O771" s="5"/>
    </row>
    <row r="772" spans="1:15" ht="12.75">
      <c r="A772" s="2"/>
      <c r="B772" s="6"/>
      <c r="O772" s="5"/>
    </row>
    <row r="773" spans="1:15" ht="12.75">
      <c r="A773" s="2"/>
      <c r="B773" s="6"/>
      <c r="O773" s="5"/>
    </row>
    <row r="774" spans="1:15" ht="12.75">
      <c r="A774" s="2"/>
      <c r="B774" s="6"/>
      <c r="O774" s="5"/>
    </row>
    <row r="775" spans="1:15" ht="12.75">
      <c r="A775" s="2"/>
      <c r="B775" s="6"/>
      <c r="O775" s="5"/>
    </row>
    <row r="776" spans="1:15" ht="12.75">
      <c r="A776" s="2"/>
      <c r="B776" s="6"/>
      <c r="O776" s="5"/>
    </row>
    <row r="777" spans="1:15" ht="12.75">
      <c r="A777" s="2"/>
      <c r="B777" s="6"/>
      <c r="O777" s="5"/>
    </row>
    <row r="778" spans="1:15" ht="12.75">
      <c r="A778" s="2"/>
      <c r="B778" s="6"/>
      <c r="O778" s="5"/>
    </row>
    <row r="779" spans="1:15" ht="12.75">
      <c r="A779" s="2"/>
      <c r="B779" s="6"/>
      <c r="O779" s="5"/>
    </row>
    <row r="780" spans="1:15" ht="12.75">
      <c r="A780" s="2"/>
      <c r="B780" s="6"/>
      <c r="O780" s="5"/>
    </row>
    <row r="781" spans="1:15" ht="12.75">
      <c r="A781" s="2"/>
      <c r="B781" s="6"/>
      <c r="O781" s="5"/>
    </row>
    <row r="782" spans="1:15" ht="12.75">
      <c r="A782" s="2"/>
      <c r="B782" s="6"/>
      <c r="O782" s="5"/>
    </row>
    <row r="783" spans="1:15" ht="12.75">
      <c r="A783" s="2"/>
      <c r="B783" s="6"/>
      <c r="O783" s="5"/>
    </row>
    <row r="784" spans="1:15" ht="12.75">
      <c r="A784" s="2"/>
      <c r="B784" s="6"/>
      <c r="O784" s="5"/>
    </row>
    <row r="785" spans="1:15" ht="12.75">
      <c r="A785" s="2"/>
      <c r="B785" s="6"/>
      <c r="O785" s="5"/>
    </row>
    <row r="786" spans="1:15" ht="12.75">
      <c r="A786" s="2"/>
      <c r="B786" s="6"/>
      <c r="O786" s="5"/>
    </row>
    <row r="787" spans="1:15" ht="12.75">
      <c r="A787" s="2"/>
      <c r="B787" s="6"/>
      <c r="O787" s="5"/>
    </row>
    <row r="788" spans="1:15" ht="12.75">
      <c r="A788" s="2"/>
      <c r="B788" s="6"/>
      <c r="O788" s="5"/>
    </row>
    <row r="789" spans="1:15" ht="12.75">
      <c r="A789" s="2"/>
      <c r="B789" s="6"/>
      <c r="O789" s="5"/>
    </row>
    <row r="790" spans="1:15" ht="12.75">
      <c r="A790" s="2"/>
      <c r="B790" s="6"/>
      <c r="O790" s="5"/>
    </row>
    <row r="791" spans="1:15" ht="12.75">
      <c r="A791" s="2"/>
      <c r="B791" s="6"/>
      <c r="O791" s="5"/>
    </row>
    <row r="792" spans="1:15" ht="12.75">
      <c r="A792" s="2"/>
      <c r="B792" s="6"/>
      <c r="O792" s="5"/>
    </row>
    <row r="793" spans="1:15" ht="12.75">
      <c r="A793" s="2"/>
      <c r="B793" s="6"/>
      <c r="O793" s="5"/>
    </row>
    <row r="794" spans="1:15" ht="12.75">
      <c r="A794" s="2"/>
      <c r="B794" s="6"/>
      <c r="O794" s="5"/>
    </row>
    <row r="795" spans="1:15" ht="12.75">
      <c r="A795" s="2"/>
      <c r="B795" s="6"/>
      <c r="O795" s="5"/>
    </row>
    <row r="796" spans="1:15" ht="12.75">
      <c r="A796" s="2"/>
      <c r="B796" s="6"/>
      <c r="O796" s="5"/>
    </row>
    <row r="797" spans="1:15" ht="12.75">
      <c r="A797" s="2"/>
      <c r="B797" s="6"/>
      <c r="O797" s="5"/>
    </row>
    <row r="798" spans="1:15" ht="12.75">
      <c r="A798" s="2"/>
      <c r="B798" s="6"/>
      <c r="O798" s="5"/>
    </row>
    <row r="799" spans="1:15" ht="12.75">
      <c r="A799" s="2"/>
      <c r="B799" s="6"/>
      <c r="O799" s="5"/>
    </row>
    <row r="800" spans="1:15" ht="12.75">
      <c r="A800" s="2"/>
      <c r="B800" s="6"/>
      <c r="O800" s="5"/>
    </row>
    <row r="801" spans="1:15" ht="12.75">
      <c r="A801" s="2"/>
      <c r="B801" s="6"/>
      <c r="O801" s="5"/>
    </row>
    <row r="802" spans="1:15" ht="12.75">
      <c r="A802" s="2"/>
      <c r="B802" s="6"/>
      <c r="O802" s="5"/>
    </row>
    <row r="803" spans="1:15" ht="12.75">
      <c r="A803" s="2"/>
      <c r="B803" s="6"/>
      <c r="O803" s="5"/>
    </row>
    <row r="804" spans="1:15" ht="12.75">
      <c r="A804" s="2"/>
      <c r="B804" s="6"/>
      <c r="O804" s="4"/>
    </row>
    <row r="805" spans="1:15" ht="12.75">
      <c r="A805" s="2"/>
      <c r="B805" s="6"/>
      <c r="O805" s="4"/>
    </row>
    <row r="806" spans="1:15" ht="12.75">
      <c r="A806" s="2"/>
      <c r="B806" s="6"/>
      <c r="O806" s="4"/>
    </row>
    <row r="807" spans="1:15" ht="12.75">
      <c r="A807" s="2"/>
      <c r="B807" s="6"/>
      <c r="O807" s="4"/>
    </row>
    <row r="808" spans="1:15" ht="12.75">
      <c r="A808" s="2"/>
      <c r="B808" s="6"/>
      <c r="O808" s="4"/>
    </row>
    <row r="809" spans="1:15" ht="12.75">
      <c r="A809" s="2"/>
      <c r="B809" s="6"/>
      <c r="O809" s="4"/>
    </row>
    <row r="810" spans="1:15" ht="12.75">
      <c r="A810" s="2"/>
      <c r="B810" s="6"/>
      <c r="O810" s="4"/>
    </row>
    <row r="811" spans="1:15" ht="12.75">
      <c r="A811" s="2"/>
      <c r="B811" s="6"/>
      <c r="O811" s="4"/>
    </row>
    <row r="812" spans="1:15" ht="12.75">
      <c r="A812" s="2"/>
      <c r="B812" s="6"/>
      <c r="O812" s="4"/>
    </row>
    <row r="813" spans="1:15" ht="12.75">
      <c r="A813" s="2"/>
      <c r="B813" s="6"/>
      <c r="O813" s="4"/>
    </row>
    <row r="814" spans="1:15" ht="12.75">
      <c r="A814" s="2"/>
      <c r="B814" s="6"/>
      <c r="O814" s="4"/>
    </row>
    <row r="815" spans="1:15" ht="12.75">
      <c r="A815" s="2"/>
      <c r="B815" s="6"/>
      <c r="O815" s="4"/>
    </row>
    <row r="816" spans="1:15" ht="12.75">
      <c r="A816" s="2"/>
      <c r="B816" s="6"/>
      <c r="O816" s="4"/>
    </row>
    <row r="817" spans="1:15" ht="12.75">
      <c r="A817" s="2"/>
      <c r="B817" s="6"/>
      <c r="O817" s="4"/>
    </row>
    <row r="818" spans="1:15" ht="12.75">
      <c r="A818" s="2"/>
      <c r="B818" s="6"/>
      <c r="O818" s="4"/>
    </row>
    <row r="819" spans="1:15" ht="12.75">
      <c r="A819" s="2"/>
      <c r="B819" s="6"/>
      <c r="O819" s="4"/>
    </row>
    <row r="820" spans="1:15" ht="12.75">
      <c r="A820" s="2"/>
      <c r="B820" s="6"/>
      <c r="O820" s="4"/>
    </row>
    <row r="821" spans="1:15" ht="12.75">
      <c r="A821" s="2"/>
      <c r="B821" s="6"/>
      <c r="O821" s="4"/>
    </row>
    <row r="822" spans="1:15" ht="12.75">
      <c r="A822" s="2"/>
      <c r="B822" s="6"/>
      <c r="O822" s="4"/>
    </row>
    <row r="823" spans="1:15" ht="12.75">
      <c r="A823" s="2"/>
      <c r="B823" s="6"/>
      <c r="O823" s="4"/>
    </row>
    <row r="824" spans="1:15" ht="12.75">
      <c r="A824" s="2"/>
      <c r="B824" s="6"/>
      <c r="O824" s="4"/>
    </row>
    <row r="825" spans="1:15" ht="12.75">
      <c r="A825" s="2"/>
      <c r="B825" s="6"/>
      <c r="O825" s="4"/>
    </row>
    <row r="826" spans="1:15" ht="12.75">
      <c r="A826" s="2"/>
      <c r="B826" s="6"/>
      <c r="O826" s="4"/>
    </row>
    <row r="827" spans="1:15" ht="12.75">
      <c r="A827" s="2"/>
      <c r="B827" s="6"/>
      <c r="O827" s="4"/>
    </row>
    <row r="828" spans="1:15" ht="12.75">
      <c r="A828" s="2"/>
      <c r="B828" s="6"/>
      <c r="O828" s="4"/>
    </row>
    <row r="829" spans="1:15" ht="12.75">
      <c r="A829" s="2"/>
      <c r="B829" s="6"/>
      <c r="O829" s="4"/>
    </row>
    <row r="830" spans="1:15" ht="12.75">
      <c r="A830" s="2"/>
      <c r="B830" s="6"/>
      <c r="O830" s="4"/>
    </row>
    <row r="831" spans="1:15" ht="12.75">
      <c r="A831" s="2"/>
      <c r="B831" s="6"/>
      <c r="O831" s="4"/>
    </row>
    <row r="832" spans="1:15" ht="12.75">
      <c r="A832" s="2"/>
      <c r="B832" s="6"/>
      <c r="O832" s="4"/>
    </row>
    <row r="833" spans="1:15" ht="12.75">
      <c r="A833" s="2"/>
      <c r="B833" s="6"/>
      <c r="O833" s="4"/>
    </row>
    <row r="834" spans="1:15" ht="12.75">
      <c r="A834" s="2"/>
      <c r="B834" s="6"/>
      <c r="O834" s="4"/>
    </row>
    <row r="835" spans="1:15" ht="12.75">
      <c r="A835" s="2"/>
      <c r="B835" s="6"/>
      <c r="O835" s="4"/>
    </row>
    <row r="836" spans="1:15" ht="12.75">
      <c r="A836" s="2"/>
      <c r="B836" s="6"/>
      <c r="O836" s="4"/>
    </row>
    <row r="837" spans="1:15" ht="12.75">
      <c r="A837" s="2"/>
      <c r="B837" s="6"/>
      <c r="O837" s="4"/>
    </row>
    <row r="838" spans="1:15" ht="12.75">
      <c r="A838" s="2"/>
      <c r="B838" s="6"/>
      <c r="O838" s="4"/>
    </row>
    <row r="839" spans="1:15" ht="12.75">
      <c r="A839" s="2"/>
      <c r="B839" s="6"/>
      <c r="O839" s="4"/>
    </row>
    <row r="840" spans="1:15" ht="12.75">
      <c r="A840" s="2"/>
      <c r="B840" s="6"/>
      <c r="O840" s="4"/>
    </row>
    <row r="841" spans="1:15" ht="12.75">
      <c r="A841" s="2"/>
      <c r="B841" s="6"/>
      <c r="O841" s="4"/>
    </row>
    <row r="842" spans="1:15" ht="12.75">
      <c r="A842" s="2"/>
      <c r="B842" s="6"/>
      <c r="O842" s="4"/>
    </row>
    <row r="843" spans="1:15" ht="12.75">
      <c r="A843" s="2"/>
      <c r="B843" s="6"/>
      <c r="O843" s="4"/>
    </row>
    <row r="844" spans="1:15" ht="12.75">
      <c r="A844" s="2"/>
      <c r="B844" s="6"/>
      <c r="O844" s="4"/>
    </row>
    <row r="845" spans="1:15" ht="12.75">
      <c r="A845" s="2"/>
      <c r="B845" s="6"/>
      <c r="O845" s="4"/>
    </row>
    <row r="846" spans="1:15" ht="12.75">
      <c r="A846" s="2"/>
      <c r="B846" s="6"/>
      <c r="O846" s="4"/>
    </row>
    <row r="847" spans="1:15" ht="12.75">
      <c r="A847" s="2"/>
      <c r="B847" s="6"/>
      <c r="O847" s="4"/>
    </row>
    <row r="848" spans="1:15" ht="12.75">
      <c r="A848" s="2"/>
      <c r="B848" s="6"/>
      <c r="O848" s="4"/>
    </row>
    <row r="849" spans="1:15" ht="12.75">
      <c r="A849" s="2"/>
      <c r="B849" s="6"/>
      <c r="O849" s="4"/>
    </row>
    <row r="850" spans="1:15" ht="12.75">
      <c r="A850" s="2"/>
      <c r="B850" s="6"/>
      <c r="O850" s="4"/>
    </row>
    <row r="851" spans="1:15" ht="12.75">
      <c r="A851" s="2"/>
      <c r="B851" s="6"/>
      <c r="O851" s="4"/>
    </row>
    <row r="852" spans="1:15" ht="12.75">
      <c r="A852" s="2"/>
      <c r="B852" s="6"/>
      <c r="O852" s="4"/>
    </row>
    <row r="853" spans="1:15" ht="12.75">
      <c r="A853" s="2"/>
      <c r="B853" s="6"/>
      <c r="O853" s="4"/>
    </row>
    <row r="854" spans="1:15" ht="12.75">
      <c r="A854" s="2"/>
      <c r="B854" s="6"/>
      <c r="O854" s="4"/>
    </row>
    <row r="855" spans="1:15" ht="12.75">
      <c r="A855" s="2"/>
      <c r="B855" s="6"/>
      <c r="O855" s="4"/>
    </row>
    <row r="856" spans="1:15" ht="12.75">
      <c r="A856" s="2"/>
      <c r="B856" s="6"/>
      <c r="O856" s="4"/>
    </row>
    <row r="857" spans="1:15" ht="12.75">
      <c r="A857" s="2"/>
      <c r="B857" s="6"/>
      <c r="O857" s="4"/>
    </row>
    <row r="858" spans="1:15" ht="12.75">
      <c r="A858" s="2"/>
      <c r="B858" s="6"/>
      <c r="O858" s="4"/>
    </row>
    <row r="859" spans="1:15" ht="12.75">
      <c r="A859" s="2"/>
      <c r="B859" s="6"/>
      <c r="O859" s="4"/>
    </row>
    <row r="860" spans="1:15" ht="12.75">
      <c r="A860" s="2"/>
      <c r="B860" s="6"/>
      <c r="O860" s="4"/>
    </row>
    <row r="861" spans="1:15" ht="12.75">
      <c r="A861" s="2"/>
      <c r="B861" s="6"/>
      <c r="O861" s="4"/>
    </row>
    <row r="862" spans="1:15" ht="12.75">
      <c r="A862" s="2"/>
      <c r="B862" s="6"/>
      <c r="O862" s="4"/>
    </row>
    <row r="863" spans="1:15" ht="12.75">
      <c r="A863" s="2"/>
      <c r="B863" s="6"/>
      <c r="O863" s="4"/>
    </row>
    <row r="864" spans="1:15" ht="12.75">
      <c r="A864" s="2"/>
      <c r="B864" s="6"/>
      <c r="O864" s="4"/>
    </row>
    <row r="865" spans="1:15" ht="12.75">
      <c r="A865" s="2"/>
      <c r="B865" s="6"/>
      <c r="O865" s="4"/>
    </row>
    <row r="866" spans="1:15" ht="12.75">
      <c r="A866" s="2"/>
      <c r="B866" s="6"/>
      <c r="O866" s="4"/>
    </row>
    <row r="867" spans="1:15" ht="12.75">
      <c r="A867" s="2"/>
      <c r="B867" s="6"/>
      <c r="O867" s="4"/>
    </row>
    <row r="868" spans="1:15" ht="12.75">
      <c r="A868" s="2"/>
      <c r="B868" s="6"/>
      <c r="O868" s="4"/>
    </row>
    <row r="869" spans="1:15" ht="12.75">
      <c r="A869" s="2"/>
      <c r="B869" s="6"/>
      <c r="O869" s="4"/>
    </row>
    <row r="870" spans="1:15" ht="12.75">
      <c r="A870" s="2"/>
      <c r="B870" s="6"/>
      <c r="O870" s="4"/>
    </row>
    <row r="871" spans="1:15" ht="12.75">
      <c r="A871" s="2"/>
      <c r="B871" s="6"/>
      <c r="O871" s="4"/>
    </row>
    <row r="872" spans="1:15" ht="12.75">
      <c r="A872" s="2"/>
      <c r="B872" s="6"/>
      <c r="O872" s="4"/>
    </row>
    <row r="873" spans="1:15" ht="12.75">
      <c r="A873" s="2"/>
      <c r="B873" s="6"/>
      <c r="O873" s="4"/>
    </row>
    <row r="874" spans="1:15" ht="12.75">
      <c r="A874" s="2"/>
      <c r="B874" s="6"/>
      <c r="O874" s="4"/>
    </row>
    <row r="875" spans="1:15" ht="12.75">
      <c r="A875" s="2"/>
      <c r="B875" s="6"/>
      <c r="O875" s="4"/>
    </row>
    <row r="876" spans="1:15" ht="12.75">
      <c r="A876" s="2"/>
      <c r="B876" s="6"/>
      <c r="O876" s="4"/>
    </row>
    <row r="877" spans="1:15" ht="12.75">
      <c r="A877" s="2"/>
      <c r="B877" s="6"/>
      <c r="O877" s="4"/>
    </row>
    <row r="878" spans="1:15" ht="12.75">
      <c r="A878" s="2"/>
      <c r="B878" s="6"/>
      <c r="O878" s="4"/>
    </row>
    <row r="879" spans="1:15" ht="12.75">
      <c r="A879" s="2"/>
      <c r="B879" s="6"/>
      <c r="O879" s="4"/>
    </row>
    <row r="880" spans="1:15" ht="12.75">
      <c r="A880" s="2"/>
      <c r="B880" s="6"/>
      <c r="O880" s="4"/>
    </row>
    <row r="881" spans="1:15" ht="12.75">
      <c r="A881" s="2"/>
      <c r="B881" s="6"/>
      <c r="O881" s="4"/>
    </row>
    <row r="882" spans="1:15" ht="12.75">
      <c r="A882" s="2"/>
      <c r="B882" s="6"/>
      <c r="O882" s="4"/>
    </row>
    <row r="883" spans="1:15" ht="12.75">
      <c r="A883" s="2"/>
      <c r="B883" s="6"/>
      <c r="O883" s="4"/>
    </row>
    <row r="884" spans="1:15" ht="12.75">
      <c r="A884" s="2"/>
      <c r="B884" s="6"/>
      <c r="O884" s="4"/>
    </row>
    <row r="885" spans="1:15" ht="12.75">
      <c r="A885" s="2"/>
      <c r="B885" s="6"/>
      <c r="O885" s="4"/>
    </row>
    <row r="886" spans="1:15" ht="12.75">
      <c r="A886" s="2"/>
      <c r="B886" s="6"/>
      <c r="O886" s="4"/>
    </row>
    <row r="887" spans="1:15" ht="12.75">
      <c r="A887" s="2"/>
      <c r="B887" s="6"/>
      <c r="O887" s="4"/>
    </row>
    <row r="888" spans="1:15" ht="12.75">
      <c r="A888" s="2"/>
      <c r="B888" s="6"/>
      <c r="O888" s="4"/>
    </row>
    <row r="889" spans="1:15" ht="12.75">
      <c r="A889" s="2"/>
      <c r="B889" s="6"/>
      <c r="O889" s="4"/>
    </row>
    <row r="890" spans="1:15" ht="12.75">
      <c r="A890" s="2"/>
      <c r="B890" s="6"/>
      <c r="O890" s="4"/>
    </row>
    <row r="891" spans="1:15" ht="12.75">
      <c r="A891" s="2"/>
      <c r="B891" s="6"/>
      <c r="O891" s="4"/>
    </row>
    <row r="892" spans="1:15" ht="12.75">
      <c r="A892" s="2"/>
      <c r="B892" s="6"/>
      <c r="O892" s="4"/>
    </row>
    <row r="893" spans="1:15" ht="12.75">
      <c r="A893" s="2"/>
      <c r="B893" s="6"/>
      <c r="O893" s="4"/>
    </row>
    <row r="894" spans="1:15" ht="12.75">
      <c r="A894" s="2"/>
      <c r="B894" s="6"/>
      <c r="O894" s="4"/>
    </row>
    <row r="895" spans="1:15" ht="12.75">
      <c r="A895" s="2"/>
      <c r="B895" s="6"/>
      <c r="O895" s="4"/>
    </row>
    <row r="896" spans="1:15" ht="12.75">
      <c r="A896" s="2"/>
      <c r="B896" s="6"/>
      <c r="O896" s="4"/>
    </row>
    <row r="897" spans="1:15" ht="12.75">
      <c r="A897" s="2"/>
      <c r="B897" s="6"/>
      <c r="O897" s="4"/>
    </row>
    <row r="898" spans="1:15" ht="12.75">
      <c r="A898" s="2"/>
      <c r="B898" s="6"/>
      <c r="O898" s="4"/>
    </row>
    <row r="899" spans="1:15" ht="12.75">
      <c r="A899" s="2"/>
      <c r="B899" s="6"/>
      <c r="O899" s="4"/>
    </row>
    <row r="900" spans="1:15" ht="12.75">
      <c r="A900" s="2"/>
      <c r="B900" s="6"/>
      <c r="O900" s="4"/>
    </row>
    <row r="901" spans="1:15" ht="12.75">
      <c r="A901" s="2"/>
      <c r="B901" s="6"/>
      <c r="O901" s="4"/>
    </row>
    <row r="902" spans="1:15" ht="12.75">
      <c r="A902" s="2"/>
      <c r="B902" s="6"/>
      <c r="O902" s="4"/>
    </row>
    <row r="903" spans="1:15" ht="12.75">
      <c r="A903" s="2"/>
      <c r="B903" s="6"/>
      <c r="O903" s="4"/>
    </row>
    <row r="904" spans="1:15" ht="12.75">
      <c r="A904" s="2"/>
      <c r="B904" s="6"/>
      <c r="O904" s="4"/>
    </row>
    <row r="905" spans="1:15" ht="12.75">
      <c r="A905" s="2"/>
      <c r="B905" s="6"/>
      <c r="O905" s="4"/>
    </row>
    <row r="906" spans="1:15" ht="12.75">
      <c r="A906" s="2"/>
      <c r="B906" s="6"/>
      <c r="O906" s="4"/>
    </row>
    <row r="907" spans="1:15" ht="12.75">
      <c r="A907" s="2"/>
      <c r="B907" s="6"/>
      <c r="O907" s="4"/>
    </row>
    <row r="908" spans="1:15" ht="12.75">
      <c r="A908" s="2"/>
      <c r="B908" s="6"/>
      <c r="O908" s="4"/>
    </row>
    <row r="909" spans="1:15" ht="12.75">
      <c r="A909" s="2"/>
      <c r="B909" s="6"/>
      <c r="O909" s="4"/>
    </row>
    <row r="910" spans="1:15" ht="12.75">
      <c r="A910" s="2"/>
      <c r="B910" s="6"/>
      <c r="O910" s="4"/>
    </row>
    <row r="911" spans="1:15" ht="12.75">
      <c r="A911" s="2"/>
      <c r="B911" s="6"/>
      <c r="O911" s="4"/>
    </row>
    <row r="912" spans="1:15" ht="12.75">
      <c r="A912" s="2"/>
      <c r="B912" s="6"/>
      <c r="O912" s="4"/>
    </row>
    <row r="913" spans="1:15" ht="12.75">
      <c r="A913" s="2"/>
      <c r="B913" s="6"/>
      <c r="O913" s="4"/>
    </row>
    <row r="914" spans="1:15" ht="12.75">
      <c r="A914" s="2"/>
      <c r="B914" s="6"/>
      <c r="O914" s="4"/>
    </row>
    <row r="915" spans="1:15" ht="12.75">
      <c r="A915" s="2"/>
      <c r="B915" s="6"/>
      <c r="O915" s="4"/>
    </row>
    <row r="916" spans="1:15" ht="12.75">
      <c r="A916" s="2"/>
      <c r="B916" s="6"/>
      <c r="O916" s="4"/>
    </row>
    <row r="917" spans="1:15" ht="12.75">
      <c r="A917" s="2"/>
      <c r="B917" s="6"/>
      <c r="O917" s="4"/>
    </row>
    <row r="918" spans="1:15" ht="12.75">
      <c r="A918" s="2"/>
      <c r="B918" s="6"/>
      <c r="O918" s="4"/>
    </row>
    <row r="919" spans="1:15" ht="12.75">
      <c r="A919" s="2"/>
      <c r="B919" s="6"/>
      <c r="O919" s="4"/>
    </row>
    <row r="920" spans="1:15" ht="12.75">
      <c r="A920" s="2"/>
      <c r="B920" s="6"/>
      <c r="O920" s="4"/>
    </row>
    <row r="921" spans="1:15" ht="12.75">
      <c r="A921" s="2"/>
      <c r="B921" s="6"/>
      <c r="O921" s="4"/>
    </row>
    <row r="922" spans="1:15" ht="12.75">
      <c r="A922" s="2"/>
      <c r="B922" s="6"/>
      <c r="O922" s="4"/>
    </row>
    <row r="923" spans="1:15" ht="12.75">
      <c r="A923" s="2"/>
      <c r="B923" s="6"/>
      <c r="O923" s="4"/>
    </row>
    <row r="924" spans="1:15" ht="12.75">
      <c r="A924" s="2"/>
      <c r="B924" s="6"/>
      <c r="O924" s="4"/>
    </row>
    <row r="925" spans="1:15" ht="12.75">
      <c r="A925" s="2"/>
      <c r="B925" s="6"/>
      <c r="O925" s="4"/>
    </row>
    <row r="926" spans="1:15" ht="12.75">
      <c r="A926" s="2"/>
      <c r="B926" s="6"/>
      <c r="O926" s="4"/>
    </row>
    <row r="927" spans="1:15" ht="12.75">
      <c r="A927" s="2"/>
      <c r="B927" s="6"/>
      <c r="O927" s="4"/>
    </row>
    <row r="928" spans="1:15" ht="12.75">
      <c r="A928" s="2"/>
      <c r="B928" s="6"/>
      <c r="O928" s="4"/>
    </row>
    <row r="929" spans="1:15" ht="12.75">
      <c r="A929" s="2"/>
      <c r="B929" s="6"/>
      <c r="O929" s="4"/>
    </row>
    <row r="930" spans="1:15" ht="12.75">
      <c r="A930" s="2"/>
      <c r="B930" s="6"/>
      <c r="O930" s="4"/>
    </row>
    <row r="931" spans="1:15" ht="12.75">
      <c r="A931" s="2"/>
      <c r="B931" s="6"/>
      <c r="O931" s="4"/>
    </row>
    <row r="932" spans="1:15" ht="12.75">
      <c r="A932" s="2"/>
      <c r="B932" s="6"/>
      <c r="O932" s="4"/>
    </row>
    <row r="933" spans="1:15" ht="12.75">
      <c r="A933" s="2"/>
      <c r="B933" s="6"/>
      <c r="O933" s="4"/>
    </row>
    <row r="934" spans="1:15" ht="12.75">
      <c r="A934" s="2"/>
      <c r="B934" s="6"/>
      <c r="O934" s="4"/>
    </row>
    <row r="935" spans="1:15" ht="12.75">
      <c r="A935" s="2"/>
      <c r="B935" s="6"/>
      <c r="O935" s="4"/>
    </row>
    <row r="936" spans="1:15" ht="12.75">
      <c r="A936" s="2"/>
      <c r="B936" s="6"/>
      <c r="O936" s="4"/>
    </row>
    <row r="937" spans="1:15" ht="12.75">
      <c r="A937" s="2"/>
      <c r="B937" s="6"/>
      <c r="O937" s="4"/>
    </row>
    <row r="938" spans="1:15" ht="12.75">
      <c r="A938" s="2"/>
      <c r="B938" s="6"/>
      <c r="O938" s="4"/>
    </row>
    <row r="939" spans="1:15" ht="12.75">
      <c r="A939" s="2"/>
      <c r="B939" s="6"/>
      <c r="O939" s="4"/>
    </row>
    <row r="940" spans="1:15" ht="12.75">
      <c r="A940" s="2"/>
      <c r="B940" s="6"/>
      <c r="O940" s="4"/>
    </row>
    <row r="941" spans="1:15" ht="12.75">
      <c r="A941" s="2"/>
      <c r="B941" s="6"/>
      <c r="O941" s="4"/>
    </row>
    <row r="942" spans="1:15" ht="12.75">
      <c r="A942" s="2"/>
      <c r="B942" s="6"/>
      <c r="O942" s="4"/>
    </row>
    <row r="943" spans="1:15" ht="12.75">
      <c r="A943" s="2"/>
      <c r="B943" s="6"/>
      <c r="O943" s="4"/>
    </row>
    <row r="944" spans="1:15" ht="12.75">
      <c r="A944" s="2"/>
      <c r="B944" s="6"/>
      <c r="O944" s="4"/>
    </row>
    <row r="945" spans="1:15" ht="12.75">
      <c r="A945" s="2"/>
      <c r="B945" s="6"/>
      <c r="O945" s="4"/>
    </row>
    <row r="946" spans="1:15" ht="12.75">
      <c r="A946" s="2"/>
      <c r="B946" s="6"/>
      <c r="O946" s="4"/>
    </row>
    <row r="947" spans="1:15" ht="12.75">
      <c r="A947" s="2"/>
      <c r="B947" s="6"/>
      <c r="O947" s="4"/>
    </row>
    <row r="948" spans="1:15" ht="12.75">
      <c r="A948" s="2"/>
      <c r="B948" s="6"/>
      <c r="O948" s="4"/>
    </row>
    <row r="949" spans="1:15" ht="12.75">
      <c r="A949" s="2"/>
      <c r="B949" s="6"/>
      <c r="O949" s="4"/>
    </row>
    <row r="950" spans="1:15" ht="12.75">
      <c r="A950" s="2"/>
      <c r="B950" s="6"/>
      <c r="O950" s="4"/>
    </row>
    <row r="951" spans="1:15" ht="12.75">
      <c r="A951" s="2"/>
      <c r="B951" s="6"/>
      <c r="O951" s="4"/>
    </row>
    <row r="952" spans="1:15" ht="12.75">
      <c r="A952" s="2"/>
      <c r="B952" s="6"/>
      <c r="O952" s="4"/>
    </row>
    <row r="953" spans="1:15" ht="12.75">
      <c r="A953" s="2"/>
      <c r="B953" s="6"/>
      <c r="O953" s="4"/>
    </row>
    <row r="954" spans="1:15" ht="12.75">
      <c r="A954" s="2"/>
      <c r="B954" s="6"/>
      <c r="O954" s="4"/>
    </row>
    <row r="955" spans="1:15" ht="12.75">
      <c r="A955" s="2"/>
      <c r="B955" s="6"/>
      <c r="O955" s="4"/>
    </row>
    <row r="956" spans="1:15" ht="12.75">
      <c r="A956" s="2"/>
      <c r="B956" s="6"/>
      <c r="O956" s="4"/>
    </row>
    <row r="957" spans="1:15" ht="12.75">
      <c r="A957" s="2"/>
      <c r="B957" s="6"/>
      <c r="O957" s="4"/>
    </row>
    <row r="958" spans="1:15" ht="12.75">
      <c r="A958" s="2"/>
      <c r="B958" s="6"/>
      <c r="O958" s="4"/>
    </row>
    <row r="959" spans="1:15" ht="12.75">
      <c r="A959" s="2"/>
      <c r="B959" s="6"/>
      <c r="O959" s="4"/>
    </row>
    <row r="960" spans="1:15" ht="12.75">
      <c r="A960" s="2"/>
      <c r="B960" s="6"/>
      <c r="O960" s="4"/>
    </row>
    <row r="961" spans="1:15" ht="12.75">
      <c r="A961" s="2"/>
      <c r="B961" s="6"/>
      <c r="O961" s="4"/>
    </row>
    <row r="962" spans="1:15" ht="12.75">
      <c r="A962" s="2"/>
      <c r="B962" s="6"/>
      <c r="O962" s="4"/>
    </row>
    <row r="963" spans="1:15" ht="12.75">
      <c r="A963" s="2"/>
      <c r="B963" s="6"/>
      <c r="O963" s="4"/>
    </row>
    <row r="964" spans="1:15" ht="12.75">
      <c r="A964" s="2"/>
      <c r="B964" s="6"/>
      <c r="O964" s="4"/>
    </row>
    <row r="965" spans="1:15" ht="12.75">
      <c r="A965" s="2"/>
      <c r="B965" s="6"/>
      <c r="O965" s="4"/>
    </row>
    <row r="966" spans="1:15" ht="12.75">
      <c r="A966" s="2"/>
      <c r="B966" s="6"/>
      <c r="O966" s="4"/>
    </row>
    <row r="967" spans="1:15" ht="12.75">
      <c r="A967" s="2"/>
      <c r="B967" s="6"/>
      <c r="O967" s="4"/>
    </row>
    <row r="968" spans="1:15" ht="12.75">
      <c r="A968" s="2"/>
      <c r="B968" s="6"/>
      <c r="O968" s="4"/>
    </row>
    <row r="969" spans="1:15" ht="12.75">
      <c r="A969" s="2"/>
      <c r="B969" s="6"/>
      <c r="O969" s="4"/>
    </row>
    <row r="970" spans="1:15" ht="12.75">
      <c r="A970" s="2"/>
      <c r="B970" s="6"/>
      <c r="O970" s="4"/>
    </row>
    <row r="971" spans="1:15" ht="12.75">
      <c r="A971" s="2"/>
      <c r="B971" s="6"/>
      <c r="O971" s="4"/>
    </row>
    <row r="972" spans="1:15" ht="12.75">
      <c r="A972" s="2"/>
      <c r="B972" s="6"/>
      <c r="O972" s="4"/>
    </row>
    <row r="973" spans="1:15" ht="12.75">
      <c r="A973" s="2"/>
      <c r="B973" s="6"/>
      <c r="O973" s="4"/>
    </row>
    <row r="974" spans="1:15" ht="12.75">
      <c r="A974" s="2"/>
      <c r="B974" s="6"/>
      <c r="O974" s="4"/>
    </row>
    <row r="975" spans="1:15" ht="12.75">
      <c r="A975" s="2"/>
      <c r="B975" s="6"/>
      <c r="O975" s="4"/>
    </row>
    <row r="976" spans="1:15" ht="12.75">
      <c r="A976" s="2"/>
      <c r="B976" s="6"/>
      <c r="O976" s="4"/>
    </row>
    <row r="977" spans="1:15" ht="12.75">
      <c r="A977" s="2"/>
      <c r="B977" s="6"/>
      <c r="O977" s="4"/>
    </row>
    <row r="978" spans="1:15" ht="12.75">
      <c r="A978" s="2"/>
      <c r="B978" s="6"/>
      <c r="O978" s="4"/>
    </row>
    <row r="979" spans="1:15" ht="12.75">
      <c r="A979" s="2"/>
      <c r="B979" s="6"/>
      <c r="O979" s="4"/>
    </row>
    <row r="980" spans="1:15" ht="12.75">
      <c r="A980" s="2"/>
      <c r="B980" s="6"/>
      <c r="O980" s="4"/>
    </row>
    <row r="981" spans="1:15" ht="12.75">
      <c r="A981" s="2"/>
      <c r="B981" s="6"/>
      <c r="O981" s="4"/>
    </row>
    <row r="982" spans="1:15" ht="12.75">
      <c r="A982" s="2"/>
      <c r="B982" s="6"/>
      <c r="O982" s="4"/>
    </row>
    <row r="983" spans="1:15" ht="12.75">
      <c r="A983" s="2"/>
      <c r="B983" s="6"/>
      <c r="O983" s="4"/>
    </row>
    <row r="984" spans="1:15" ht="12.75">
      <c r="A984" s="2"/>
      <c r="B984" s="6"/>
      <c r="O984" s="4"/>
    </row>
    <row r="985" spans="1:15" ht="12.75">
      <c r="A985" s="2"/>
      <c r="B985" s="6"/>
      <c r="O985" s="4"/>
    </row>
    <row r="986" spans="1:15" ht="12.75">
      <c r="A986" s="2"/>
      <c r="B986" s="6"/>
      <c r="O986" s="4"/>
    </row>
    <row r="987" spans="1:15" ht="12.75">
      <c r="A987" s="2"/>
      <c r="B987" s="6"/>
      <c r="O987" s="4"/>
    </row>
    <row r="988" spans="1:15" ht="12.75">
      <c r="A988" s="2"/>
      <c r="B988" s="6"/>
      <c r="O988" s="4"/>
    </row>
    <row r="989" spans="1:15" ht="12.75">
      <c r="A989" s="2"/>
      <c r="B989" s="6"/>
      <c r="O989" s="4"/>
    </row>
    <row r="990" spans="1:15" ht="12.75">
      <c r="A990" s="2"/>
      <c r="B990" s="6"/>
      <c r="O990" s="4"/>
    </row>
    <row r="991" spans="1:15" ht="12.75">
      <c r="A991" s="2"/>
      <c r="B991" s="6"/>
      <c r="O991" s="4"/>
    </row>
    <row r="992" spans="1:15" ht="12.75">
      <c r="A992" s="2"/>
      <c r="B992" s="6"/>
      <c r="O992" s="4"/>
    </row>
    <row r="993" spans="1:15" ht="12.75">
      <c r="A993" s="2"/>
      <c r="B993" s="6"/>
      <c r="O993" s="4"/>
    </row>
    <row r="994" spans="1:15" ht="12.75">
      <c r="A994" s="2"/>
      <c r="O994" s="4"/>
    </row>
    <row r="995" spans="1:15" ht="12.75">
      <c r="A995" s="2"/>
      <c r="O995" s="4"/>
    </row>
    <row r="996" spans="1:15" ht="12.75">
      <c r="A996" s="2"/>
      <c r="O996" s="4"/>
    </row>
    <row r="997" spans="1:15" ht="12.75">
      <c r="A997" s="2"/>
      <c r="O997" s="4"/>
    </row>
    <row r="998" spans="1:15" ht="12.75">
      <c r="A998" s="2"/>
      <c r="O998" s="4"/>
    </row>
    <row r="999" spans="1:15" ht="12.75">
      <c r="A999" s="2"/>
      <c r="O999" s="4"/>
    </row>
    <row r="1000" spans="1:15" ht="12.75">
      <c r="A1000" s="2"/>
      <c r="O1000" s="4"/>
    </row>
    <row r="1001" spans="1:15" ht="12.75">
      <c r="A1001" s="2"/>
      <c r="O1001" s="4"/>
    </row>
    <row r="1002" spans="1:15" ht="12.75">
      <c r="A1002" s="2"/>
      <c r="O1002" s="4"/>
    </row>
    <row r="1003" spans="1:15" ht="12.75">
      <c r="A1003" s="2"/>
      <c r="O1003" s="4"/>
    </row>
    <row r="1004" spans="1:15" ht="12.75">
      <c r="A1004" s="2"/>
      <c r="O1004" s="4"/>
    </row>
    <row r="1005" spans="1:15" ht="12.75">
      <c r="A1005" s="2"/>
      <c r="O1005" s="4"/>
    </row>
    <row r="1006" spans="1:15" ht="12.75">
      <c r="A1006" s="2"/>
      <c r="O1006" s="4"/>
    </row>
    <row r="1007" spans="1:15" ht="12.75">
      <c r="A1007" s="2"/>
      <c r="O1007" s="4"/>
    </row>
    <row r="1008" spans="1:15" ht="12.75">
      <c r="A1008" s="2"/>
      <c r="O1008" s="4"/>
    </row>
    <row r="1009" spans="1:15" ht="12.75">
      <c r="A1009" s="2"/>
      <c r="O1009" s="4"/>
    </row>
    <row r="1010" spans="1:15" ht="12.75">
      <c r="A1010" s="2"/>
      <c r="O1010" s="4"/>
    </row>
    <row r="1011" spans="1:15" ht="12.75">
      <c r="A1011" s="2"/>
      <c r="O1011" s="4"/>
    </row>
    <row r="1012" spans="1:15" ht="12.75">
      <c r="A1012" s="2"/>
      <c r="O1012" s="4"/>
    </row>
    <row r="1013" spans="1:15" ht="12.75">
      <c r="A1013" s="2"/>
      <c r="O1013" s="4"/>
    </row>
    <row r="1014" spans="1:15" ht="12.75">
      <c r="A1014" s="2"/>
      <c r="O1014" s="4"/>
    </row>
    <row r="1015" spans="1:15" ht="12.75">
      <c r="A1015" s="2"/>
      <c r="O1015" s="4"/>
    </row>
    <row r="1016" spans="1:15" ht="12.75">
      <c r="A1016" s="2"/>
      <c r="O1016" s="4"/>
    </row>
    <row r="1017" spans="1:15" ht="12.75">
      <c r="A1017" s="2"/>
      <c r="O1017" s="4"/>
    </row>
    <row r="1018" spans="1:15" ht="12.75">
      <c r="A1018" s="2"/>
      <c r="O1018" s="4"/>
    </row>
    <row r="1019" spans="1:15" ht="12.75">
      <c r="A1019" s="2"/>
      <c r="O1019" s="4"/>
    </row>
    <row r="1020" spans="1:15" ht="12.75">
      <c r="A1020" s="2"/>
      <c r="O1020" s="4"/>
    </row>
    <row r="1021" spans="1:15" ht="12.75">
      <c r="A1021" s="2"/>
      <c r="O1021" s="4"/>
    </row>
    <row r="1022" spans="1:15" ht="12.75">
      <c r="A1022" s="2"/>
      <c r="O1022" s="4"/>
    </row>
    <row r="1023" spans="1:15" ht="12.75">
      <c r="A1023" s="2"/>
      <c r="O1023" s="4"/>
    </row>
    <row r="1024" spans="1:15" ht="12.75">
      <c r="A1024" s="2"/>
      <c r="O1024" s="4"/>
    </row>
    <row r="1025" spans="1:15" ht="12.75">
      <c r="A1025" s="2"/>
      <c r="O1025" s="4"/>
    </row>
    <row r="1026" spans="1:15" ht="12.75">
      <c r="A1026" s="2"/>
      <c r="O1026" s="4"/>
    </row>
    <row r="1027" spans="1:15" ht="12.75">
      <c r="A1027" s="2"/>
      <c r="O1027" s="4"/>
    </row>
    <row r="1028" spans="1:15" ht="12.75">
      <c r="A1028" s="2"/>
      <c r="O1028" s="4"/>
    </row>
    <row r="1029" spans="1:15" ht="12.75">
      <c r="A1029" s="2"/>
      <c r="O1029" s="4"/>
    </row>
    <row r="1030" spans="1:15" ht="12.75">
      <c r="A1030" s="2"/>
      <c r="O1030" s="4"/>
    </row>
    <row r="1031" spans="1:15" ht="12.75">
      <c r="A1031" s="2"/>
      <c r="O1031" s="4"/>
    </row>
    <row r="1032" spans="1:15" ht="12.75">
      <c r="A1032" s="2"/>
      <c r="O1032" s="4"/>
    </row>
    <row r="1033" spans="1:15" ht="12.75">
      <c r="A1033" s="2"/>
      <c r="O1033" s="4"/>
    </row>
    <row r="1034" spans="1:15" ht="12.75">
      <c r="A1034" s="2"/>
      <c r="O1034" s="4"/>
    </row>
    <row r="1035" spans="1:15" ht="12.75">
      <c r="A1035" s="2"/>
      <c r="O1035" s="4"/>
    </row>
    <row r="1036" spans="1:15" ht="12.75">
      <c r="A1036" s="2"/>
      <c r="O1036" s="4"/>
    </row>
    <row r="1037" spans="1:15" ht="12.75">
      <c r="A1037" s="2"/>
      <c r="O1037" s="4"/>
    </row>
    <row r="1038" spans="1:15" ht="12.75">
      <c r="A1038" s="2"/>
      <c r="O1038" s="4"/>
    </row>
    <row r="1039" spans="1:15" ht="12.75">
      <c r="A1039" s="2"/>
      <c r="O1039" s="4"/>
    </row>
    <row r="1040" spans="1:15" ht="12.75">
      <c r="A1040" s="2"/>
      <c r="O1040" s="4"/>
    </row>
    <row r="1041" spans="1:15" ht="12.75">
      <c r="A1041" s="2"/>
      <c r="O1041" s="4"/>
    </row>
    <row r="1042" spans="1:15" ht="12.75">
      <c r="A1042" s="2"/>
      <c r="O1042" s="4"/>
    </row>
    <row r="1043" spans="1:15" ht="12.75">
      <c r="A1043" s="2"/>
      <c r="O1043" s="4"/>
    </row>
    <row r="1044" spans="1:15" ht="12.75">
      <c r="A1044" s="2"/>
      <c r="O1044" s="4"/>
    </row>
    <row r="1045" spans="1:15" ht="12.75">
      <c r="A1045" s="2"/>
      <c r="O1045" s="4"/>
    </row>
    <row r="1046" spans="1:15" ht="12.75">
      <c r="A1046" s="2"/>
      <c r="O1046" s="4"/>
    </row>
    <row r="1047" spans="1:15" ht="12.75">
      <c r="A1047" s="2"/>
      <c r="O1047" s="4"/>
    </row>
    <row r="1048" spans="1:15" ht="12.75">
      <c r="A1048" s="2"/>
      <c r="O1048" s="4"/>
    </row>
    <row r="1049" spans="1:15" ht="12.75">
      <c r="A1049" s="2"/>
      <c r="O1049" s="4"/>
    </row>
    <row r="1050" spans="1:15" ht="12.75">
      <c r="A1050" s="2"/>
      <c r="O1050" s="4"/>
    </row>
    <row r="1051" spans="1:15" ht="12.75">
      <c r="A1051" s="2"/>
      <c r="O1051" s="4"/>
    </row>
    <row r="1052" spans="1:15" ht="12.75">
      <c r="A1052" s="2"/>
      <c r="O1052" s="4"/>
    </row>
    <row r="1053" spans="1:15" ht="12.75">
      <c r="A1053" s="2"/>
      <c r="O1053" s="4"/>
    </row>
    <row r="1054" spans="1:15" ht="12.75">
      <c r="A1054" s="2"/>
      <c r="O1054" s="4"/>
    </row>
    <row r="1055" spans="1:15" ht="12.75">
      <c r="A1055" s="2"/>
      <c r="O1055" s="3"/>
    </row>
    <row r="1056" spans="1:15" ht="12.75">
      <c r="A1056" s="2"/>
      <c r="O1056" s="3"/>
    </row>
    <row r="1057" spans="1:15" ht="12.75">
      <c r="A1057" s="2"/>
      <c r="O1057" s="3"/>
    </row>
    <row r="1058" spans="1:15" ht="12.75">
      <c r="A1058" s="2"/>
      <c r="O1058" s="3"/>
    </row>
    <row r="1059" spans="1:15" ht="12.75">
      <c r="A1059" s="2"/>
      <c r="O1059" s="3"/>
    </row>
    <row r="1060" spans="1:15" ht="12.75">
      <c r="A1060" s="2"/>
      <c r="O1060" s="3"/>
    </row>
    <row r="1061" spans="1:15" ht="12.75">
      <c r="A1061" s="2"/>
      <c r="O1061" s="3"/>
    </row>
    <row r="1062" spans="1:15" ht="12.75">
      <c r="A1062" s="2"/>
      <c r="O1062" s="3"/>
    </row>
    <row r="1063" spans="1:15" ht="12.75">
      <c r="A1063" s="2"/>
      <c r="O1063" s="3"/>
    </row>
    <row r="1064" spans="1:15" ht="12.75">
      <c r="A1064" s="2"/>
      <c r="O1064" s="3"/>
    </row>
    <row r="1065" spans="1:15" ht="12.75">
      <c r="A1065" s="2"/>
      <c r="O1065" s="3"/>
    </row>
    <row r="1066" spans="1:15" ht="12.75">
      <c r="A1066" s="2"/>
      <c r="O1066" s="3"/>
    </row>
    <row r="1067" spans="1:15" ht="12.75">
      <c r="A1067" s="2"/>
      <c r="O1067" s="3"/>
    </row>
    <row r="1068" spans="1:15" ht="12.75">
      <c r="A1068" s="2"/>
      <c r="O1068" s="3"/>
    </row>
    <row r="1069" spans="1:15" ht="12.75">
      <c r="A1069" s="2"/>
      <c r="O1069" s="3"/>
    </row>
    <row r="1070" spans="1:15" ht="12.75">
      <c r="A1070" s="2"/>
      <c r="O1070" s="3"/>
    </row>
    <row r="1071" spans="1:15" ht="12.75">
      <c r="A1071" s="2"/>
      <c r="O1071" s="3"/>
    </row>
    <row r="1072" spans="1:15" ht="12.75">
      <c r="A1072" s="2"/>
      <c r="O1072" s="3"/>
    </row>
    <row r="1073" spans="1:15" ht="12.75">
      <c r="A1073" s="2"/>
      <c r="O1073" s="3"/>
    </row>
    <row r="1074" spans="1:15" ht="12.75">
      <c r="A1074" s="2"/>
      <c r="O1074" s="3"/>
    </row>
    <row r="1075" spans="1:15" ht="12.75">
      <c r="A1075" s="2"/>
      <c r="O1075" s="3"/>
    </row>
    <row r="1076" spans="1:15" ht="12.75">
      <c r="A1076" s="2"/>
      <c r="O1076" s="3"/>
    </row>
    <row r="1077" spans="1:15" ht="12.75">
      <c r="A1077" s="2"/>
      <c r="O1077" s="3"/>
    </row>
    <row r="1078" spans="1:15" ht="12.75">
      <c r="A1078" s="2"/>
      <c r="O1078" s="3"/>
    </row>
    <row r="1079" spans="1:15" ht="12.75">
      <c r="A1079" s="2"/>
      <c r="O1079" s="3"/>
    </row>
    <row r="1080" spans="1:15" ht="12.75">
      <c r="A1080" s="2"/>
      <c r="O1080" s="3"/>
    </row>
    <row r="1081" spans="1:15" ht="12.75">
      <c r="A1081" s="2"/>
      <c r="O1081" s="3"/>
    </row>
    <row r="1082" spans="1:15" ht="12.75">
      <c r="A1082" s="2"/>
      <c r="O1082" s="3"/>
    </row>
    <row r="1083" spans="1:15" ht="12.75">
      <c r="A1083" s="2"/>
      <c r="O1083" s="3"/>
    </row>
    <row r="1084" spans="1:15" ht="12.75">
      <c r="A1084" s="2"/>
      <c r="O1084" s="3"/>
    </row>
    <row r="1085" spans="1:15" ht="12.75">
      <c r="A1085" s="2"/>
      <c r="O1085" s="3"/>
    </row>
    <row r="1086" spans="1:15" ht="12.75">
      <c r="A1086" s="2"/>
      <c r="O1086" s="3"/>
    </row>
    <row r="1087" spans="1:15" ht="12.75">
      <c r="A1087" s="2"/>
      <c r="O1087" s="3"/>
    </row>
    <row r="1088" spans="1:15" ht="12.75">
      <c r="A1088" s="2"/>
      <c r="O1088" s="3"/>
    </row>
    <row r="1089" spans="1:15" ht="12.75">
      <c r="A1089" s="2"/>
      <c r="O1089" s="3"/>
    </row>
    <row r="1090" spans="1:15" ht="12.75">
      <c r="A1090" s="2"/>
      <c r="O1090" s="3"/>
    </row>
    <row r="1091" spans="1:15" ht="12.75">
      <c r="A1091" s="2"/>
      <c r="O1091" s="3"/>
    </row>
    <row r="1092" spans="1:15" ht="12.75">
      <c r="A1092" s="2"/>
      <c r="O1092" s="3"/>
    </row>
    <row r="1093" spans="1:15" ht="12.75">
      <c r="A1093" s="2"/>
      <c r="O1093" s="3"/>
    </row>
    <row r="1094" spans="1:15" ht="12.75">
      <c r="A1094" s="2"/>
      <c r="O1094" s="3"/>
    </row>
    <row r="1095" spans="1:15" ht="12.75">
      <c r="A1095" s="2"/>
      <c r="O1095" s="3"/>
    </row>
    <row r="1096" spans="1:15" ht="12.75">
      <c r="A1096" s="2"/>
      <c r="O1096" s="3"/>
    </row>
    <row r="1097" spans="1:15" ht="12.75">
      <c r="A1097" s="2"/>
      <c r="O1097" s="3"/>
    </row>
    <row r="1098" spans="1:15" ht="12.75">
      <c r="A1098" s="2"/>
      <c r="O1098" s="3"/>
    </row>
    <row r="1099" spans="1:15" ht="12.75">
      <c r="A1099" s="2"/>
      <c r="O1099" s="3"/>
    </row>
    <row r="1100" spans="1:15" ht="12.75">
      <c r="A1100" s="2"/>
      <c r="O1100" s="3"/>
    </row>
    <row r="1101" spans="1:15" ht="12.75">
      <c r="A1101" s="2"/>
      <c r="O1101" s="3"/>
    </row>
    <row r="1102" spans="1:15" ht="12.75">
      <c r="A1102" s="2"/>
      <c r="O1102" s="3"/>
    </row>
    <row r="1103" spans="1:15" ht="12.75">
      <c r="A1103" s="2"/>
      <c r="O1103" s="3"/>
    </row>
    <row r="1104" spans="1:15" ht="12.75">
      <c r="A1104" s="2"/>
      <c r="O1104" s="3"/>
    </row>
    <row r="1105" spans="1:15" ht="12.75">
      <c r="A1105" s="2"/>
      <c r="O1105" s="3"/>
    </row>
    <row r="1106" spans="1:15" ht="12.75">
      <c r="A1106" s="2"/>
      <c r="O1106" s="3"/>
    </row>
    <row r="1107" spans="1:15" ht="12.75">
      <c r="A1107" s="2"/>
      <c r="O1107" s="3"/>
    </row>
    <row r="1108" spans="1:15" ht="12.75">
      <c r="A1108" s="2"/>
      <c r="O1108" s="3"/>
    </row>
    <row r="1109" spans="1:15" ht="12.75">
      <c r="A1109" s="2"/>
      <c r="O1109" s="3"/>
    </row>
    <row r="1110" spans="1:15" ht="12.75">
      <c r="A1110" s="2"/>
      <c r="O1110" s="3"/>
    </row>
    <row r="1111" spans="1:15" ht="12.75">
      <c r="A1111" s="2"/>
      <c r="O1111" s="3"/>
    </row>
    <row r="1112" spans="1:15" ht="12.75">
      <c r="A1112" s="2"/>
      <c r="O1112" s="3"/>
    </row>
    <row r="1113" spans="1:15" ht="12.75">
      <c r="A1113" s="2"/>
      <c r="O1113" s="3"/>
    </row>
    <row r="1114" spans="1:15" ht="12.75">
      <c r="A1114" s="2"/>
      <c r="O1114" s="3"/>
    </row>
    <row r="1115" spans="1:15" ht="12.75">
      <c r="A1115" s="2"/>
      <c r="O1115" s="3"/>
    </row>
    <row r="1116" spans="1:15" ht="12.75">
      <c r="A1116" s="2"/>
      <c r="O1116" s="3"/>
    </row>
    <row r="1117" spans="1:15" ht="12.75">
      <c r="A1117" s="2"/>
      <c r="O1117" s="3"/>
    </row>
    <row r="1118" spans="1:15" ht="12.75">
      <c r="A1118" s="2"/>
      <c r="O1118" s="3"/>
    </row>
    <row r="1119" spans="1:15" ht="12.75">
      <c r="A1119" s="2"/>
      <c r="O1119" s="3"/>
    </row>
    <row r="1120" spans="1:15" ht="12.75">
      <c r="A1120" s="2"/>
      <c r="O1120" s="3"/>
    </row>
    <row r="1121" spans="1:15" ht="12.75">
      <c r="A1121" s="2"/>
      <c r="O1121" s="3"/>
    </row>
    <row r="1122" spans="1:15" ht="12.75">
      <c r="A1122" s="2"/>
      <c r="O1122" s="3"/>
    </row>
    <row r="1123" spans="1:15" ht="12.75">
      <c r="A1123" s="2"/>
      <c r="O1123" s="3"/>
    </row>
    <row r="1124" spans="1:15" ht="12.75">
      <c r="A1124" s="2"/>
      <c r="O1124" s="3"/>
    </row>
    <row r="1125" spans="1:15" ht="12.75">
      <c r="A1125" s="2"/>
      <c r="O1125" s="3"/>
    </row>
    <row r="1126" spans="1:15" ht="12.75">
      <c r="A1126" s="2"/>
      <c r="O1126" s="3"/>
    </row>
    <row r="1127" spans="1:15" ht="12.75">
      <c r="A1127" s="2"/>
      <c r="O1127" s="3"/>
    </row>
    <row r="1128" spans="1:15" ht="12.75">
      <c r="A1128" s="2"/>
      <c r="O1128" s="3"/>
    </row>
    <row r="1129" spans="1:15" ht="12.75">
      <c r="A1129" s="2"/>
      <c r="O1129" s="3"/>
    </row>
    <row r="1130" spans="1:15" ht="12.75">
      <c r="A1130" s="2"/>
      <c r="O1130" s="3"/>
    </row>
    <row r="1131" spans="1:15" ht="12.75">
      <c r="A1131" s="2"/>
      <c r="O1131" s="3"/>
    </row>
    <row r="1132" spans="1:15" ht="12.75">
      <c r="A1132" s="2"/>
      <c r="O1132" s="3"/>
    </row>
    <row r="1133" spans="1:15" ht="12.75">
      <c r="A1133" s="2"/>
      <c r="O1133" s="3"/>
    </row>
    <row r="1134" spans="1:15" ht="12.75">
      <c r="A1134" s="2"/>
      <c r="O1134" s="3"/>
    </row>
    <row r="1135" spans="1:15" ht="12.75">
      <c r="A1135" s="2"/>
      <c r="O1135" s="3"/>
    </row>
    <row r="1136" spans="1:15" ht="12.75">
      <c r="A1136" s="2"/>
      <c r="O1136" s="3"/>
    </row>
    <row r="1137" spans="1:15" ht="12.75">
      <c r="A1137" s="2"/>
      <c r="O1137" s="3"/>
    </row>
    <row r="1138" spans="1:15" ht="12.75">
      <c r="A1138" s="2"/>
      <c r="O1138" s="3"/>
    </row>
    <row r="1139" spans="1:15" ht="12.75">
      <c r="A1139" s="2"/>
      <c r="O1139" s="3"/>
    </row>
    <row r="1140" spans="1:15" ht="12.75">
      <c r="A1140" s="2"/>
      <c r="O1140" s="3"/>
    </row>
    <row r="1141" spans="1:15" ht="12.75">
      <c r="A1141" s="2"/>
      <c r="O1141" s="3"/>
    </row>
    <row r="1142" spans="1:15" ht="12.75">
      <c r="A1142" s="2"/>
      <c r="O1142" s="3"/>
    </row>
    <row r="1143" spans="1:15" ht="12.75">
      <c r="A1143" s="2"/>
      <c r="O1143" s="3"/>
    </row>
    <row r="1144" spans="1:15" ht="12.75">
      <c r="A1144" s="2"/>
      <c r="O1144" s="3"/>
    </row>
    <row r="1145" spans="1:15" ht="12.75">
      <c r="A1145" s="2"/>
      <c r="O1145" s="3"/>
    </row>
    <row r="1146" spans="1:15" ht="12.75">
      <c r="A1146" s="2"/>
      <c r="O1146" s="3"/>
    </row>
    <row r="1147" spans="1:15" ht="12.75">
      <c r="A1147" s="2"/>
      <c r="O1147" s="3"/>
    </row>
    <row r="1148" spans="1:15" ht="12.75">
      <c r="A1148" s="2"/>
      <c r="O1148" s="3"/>
    </row>
    <row r="1149" spans="1:15" ht="12.75">
      <c r="A1149" s="2"/>
      <c r="O1149" s="3"/>
    </row>
    <row r="1150" spans="1:15" ht="12.75">
      <c r="A1150" s="2"/>
      <c r="O1150" s="3"/>
    </row>
    <row r="1151" spans="1:15" ht="12.75">
      <c r="A1151" s="2"/>
      <c r="O1151" s="3"/>
    </row>
    <row r="1152" spans="1:15" ht="12.75">
      <c r="A1152" s="2"/>
      <c r="O1152" s="3"/>
    </row>
    <row r="1153" spans="1:15" ht="12.75">
      <c r="A1153" s="2"/>
      <c r="O1153" s="3"/>
    </row>
    <row r="1154" spans="1:15" ht="12.75">
      <c r="A1154" s="2"/>
      <c r="O1154" s="3"/>
    </row>
    <row r="1155" spans="1:15" ht="12.75">
      <c r="A1155" s="2"/>
      <c r="O1155" s="3"/>
    </row>
    <row r="1156" spans="1:15" ht="12.75">
      <c r="A1156" s="2"/>
      <c r="O1156" s="3"/>
    </row>
    <row r="1157" spans="1:15" ht="12.75">
      <c r="A1157" s="2"/>
      <c r="O1157" s="3"/>
    </row>
    <row r="1158" spans="1:15" ht="12.75">
      <c r="A1158" s="2"/>
      <c r="O1158" s="3"/>
    </row>
    <row r="1159" spans="1:15" ht="12.75">
      <c r="A1159" s="2"/>
      <c r="O1159" s="3"/>
    </row>
    <row r="1160" spans="1:15" ht="12.75">
      <c r="A1160" s="2"/>
      <c r="O1160" s="3"/>
    </row>
    <row r="1161" spans="1:15" ht="12.75">
      <c r="A1161" s="2"/>
      <c r="O1161" s="3"/>
    </row>
    <row r="1162" spans="1:15" ht="12.75">
      <c r="A1162" s="2"/>
      <c r="O1162" s="3"/>
    </row>
    <row r="1163" spans="1:15" ht="12.75">
      <c r="A1163" s="2"/>
      <c r="O1163" s="3"/>
    </row>
    <row r="1164" spans="1:15" ht="12.75">
      <c r="A1164" s="2"/>
      <c r="O1164" s="3"/>
    </row>
    <row r="1165" spans="1:15" ht="12.75">
      <c r="A1165" s="2"/>
      <c r="O1165" s="3"/>
    </row>
    <row r="1166" spans="1:15" ht="12.75">
      <c r="A1166" s="2"/>
      <c r="O1166" s="3"/>
    </row>
    <row r="1167" spans="1:15" ht="12.75">
      <c r="A1167" s="2"/>
      <c r="O1167" s="3"/>
    </row>
    <row r="1168" spans="1:15" ht="12.75">
      <c r="A1168" s="2"/>
      <c r="O1168" s="3"/>
    </row>
    <row r="1169" spans="1:15" ht="12.75">
      <c r="A1169" s="2"/>
      <c r="O1169" s="3"/>
    </row>
    <row r="1170" spans="1:15" ht="12.75">
      <c r="A1170" s="2"/>
      <c r="O1170" s="3"/>
    </row>
    <row r="1171" spans="1:15" ht="12.75">
      <c r="A1171" s="2"/>
      <c r="O1171" s="3"/>
    </row>
    <row r="1172" spans="1:15" ht="12.75">
      <c r="A1172" s="2"/>
      <c r="O1172" s="3"/>
    </row>
    <row r="1173" spans="1:15" ht="12.75">
      <c r="A1173" s="2"/>
      <c r="O1173" s="3"/>
    </row>
    <row r="1174" spans="1:15" ht="12.75">
      <c r="A1174" s="2"/>
      <c r="O1174" s="3"/>
    </row>
    <row r="1175" spans="1:15" ht="12.75">
      <c r="A1175" s="2"/>
      <c r="O1175" s="3"/>
    </row>
    <row r="1176" spans="1:15" ht="12.75">
      <c r="A1176" s="2"/>
      <c r="O1176" s="3"/>
    </row>
    <row r="1177" spans="1:15" ht="12.75">
      <c r="A1177" s="2"/>
      <c r="O1177" s="3"/>
    </row>
    <row r="1178" spans="1:15" ht="12.75">
      <c r="A1178" s="2"/>
      <c r="O1178" s="3"/>
    </row>
    <row r="1179" spans="1:15" ht="12.75">
      <c r="A1179" s="2"/>
      <c r="O1179" s="3"/>
    </row>
    <row r="1180" spans="1:15" ht="12.75">
      <c r="A1180" s="2"/>
      <c r="O1180" s="3"/>
    </row>
    <row r="1181" spans="1:15" ht="12.75">
      <c r="A1181" s="2"/>
      <c r="O1181" s="3"/>
    </row>
    <row r="1182" spans="1:15" ht="12.75">
      <c r="A1182" s="2"/>
      <c r="O1182" s="3"/>
    </row>
    <row r="1183" spans="1:15" ht="12.75">
      <c r="A1183" s="2"/>
      <c r="O1183" s="3"/>
    </row>
    <row r="1184" spans="1:15" ht="12.75">
      <c r="A1184" s="2"/>
      <c r="O1184" s="3"/>
    </row>
    <row r="1185" spans="1:15" ht="12.75">
      <c r="A1185" s="2"/>
      <c r="O1185" s="3"/>
    </row>
    <row r="1186" spans="1:15" ht="12.75">
      <c r="A1186" s="2"/>
      <c r="O1186" s="3"/>
    </row>
    <row r="1187" spans="1:15" ht="12.75">
      <c r="A1187" s="2"/>
      <c r="O1187" s="3"/>
    </row>
    <row r="1188" spans="1:15" ht="12.75">
      <c r="A1188" s="2"/>
      <c r="O1188" s="3"/>
    </row>
    <row r="1189" spans="1:15" ht="12.75">
      <c r="A1189" s="2"/>
      <c r="O1189" s="3"/>
    </row>
    <row r="1190" spans="1:15" ht="12.75">
      <c r="A1190" s="2"/>
      <c r="O1190" s="3"/>
    </row>
    <row r="1191" spans="1:15" ht="12.75">
      <c r="A1191" s="2"/>
      <c r="O1191" s="3"/>
    </row>
    <row r="1192" spans="1:15" ht="12.75">
      <c r="A1192" s="2"/>
      <c r="O1192" s="3"/>
    </row>
    <row r="1193" spans="1:15" ht="12.75">
      <c r="A1193" s="2"/>
      <c r="O1193" s="3"/>
    </row>
    <row r="1194" spans="1:15" ht="12.75">
      <c r="A1194" s="2"/>
      <c r="O1194" s="3"/>
    </row>
    <row r="1195" spans="1:15" ht="12.75">
      <c r="A1195" s="2"/>
      <c r="O1195" s="3"/>
    </row>
    <row r="1196" spans="1:15" ht="12.75">
      <c r="A1196" s="2"/>
      <c r="O1196" s="3"/>
    </row>
    <row r="1197" spans="1:15" ht="12.75">
      <c r="A1197" s="2"/>
      <c r="O1197" s="3"/>
    </row>
    <row r="1198" spans="1:15" ht="12.75">
      <c r="A1198" s="2"/>
      <c r="O1198" s="3"/>
    </row>
    <row r="1199" spans="1:15" ht="12.75">
      <c r="A1199" s="2"/>
      <c r="O1199" s="3"/>
    </row>
    <row r="1200" spans="1:15" ht="12.75">
      <c r="A1200" s="2"/>
      <c r="O1200" s="3"/>
    </row>
    <row r="1201" spans="1:15" ht="12.75">
      <c r="A1201" s="2"/>
      <c r="O1201" s="3"/>
    </row>
    <row r="1202" spans="1:15" ht="12.75">
      <c r="A1202" s="2"/>
      <c r="O1202" s="3"/>
    </row>
    <row r="1203" spans="1:15" ht="12.75">
      <c r="A1203" s="2"/>
      <c r="O1203" s="3"/>
    </row>
    <row r="1204" spans="1:15" ht="12.75">
      <c r="A1204" s="2"/>
      <c r="O1204" s="3"/>
    </row>
    <row r="1205" spans="1:15" ht="12.75">
      <c r="A1205" s="2"/>
      <c r="O1205" s="3"/>
    </row>
    <row r="1206" spans="1:15" ht="12.75">
      <c r="A1206" s="2"/>
      <c r="O1206" s="3"/>
    </row>
    <row r="1207" ht="12.75">
      <c r="O1207" s="3"/>
    </row>
    <row r="1208" ht="12.75">
      <c r="O1208" s="3"/>
    </row>
    <row r="1209" ht="12.75">
      <c r="O1209" s="3"/>
    </row>
    <row r="1210" ht="12.75">
      <c r="O1210" s="3"/>
    </row>
    <row r="1211" ht="12.75">
      <c r="O1211" s="3"/>
    </row>
    <row r="1212" ht="12.75">
      <c r="O1212" s="3"/>
    </row>
    <row r="1213" ht="12.75">
      <c r="O1213" s="3"/>
    </row>
    <row r="1214" ht="12.75">
      <c r="O1214" s="3"/>
    </row>
    <row r="1215" ht="12.75">
      <c r="O1215" s="3"/>
    </row>
    <row r="1216" ht="12.75">
      <c r="O1216" s="3"/>
    </row>
    <row r="1217" ht="12.75">
      <c r="O1217" s="3"/>
    </row>
    <row r="1218" ht="12.75">
      <c r="O1218" s="3"/>
    </row>
    <row r="1219" ht="12.75">
      <c r="O1219" s="3"/>
    </row>
    <row r="1220" ht="12.75">
      <c r="O1220" s="3"/>
    </row>
    <row r="1221" ht="12.75">
      <c r="O1221" s="3"/>
    </row>
    <row r="1222" ht="12.75">
      <c r="O1222" s="3"/>
    </row>
    <row r="1223" ht="12.75">
      <c r="O1223" s="3"/>
    </row>
    <row r="1224" ht="12.75">
      <c r="O1224" s="3"/>
    </row>
    <row r="1225" ht="12.75">
      <c r="O1225" s="3"/>
    </row>
    <row r="1226" ht="12.75">
      <c r="O1226" s="3"/>
    </row>
    <row r="1227" ht="12.75">
      <c r="O1227" s="3"/>
    </row>
    <row r="1228" ht="12.75">
      <c r="O1228" s="3"/>
    </row>
    <row r="1229" ht="12.75">
      <c r="O1229" s="3"/>
    </row>
    <row r="1230" ht="12.75">
      <c r="O1230" s="3"/>
    </row>
    <row r="1231" ht="12.75">
      <c r="O1231" s="3"/>
    </row>
    <row r="1232" ht="12.75">
      <c r="O1232" s="3"/>
    </row>
    <row r="1233" ht="12.75">
      <c r="O1233" s="3"/>
    </row>
    <row r="1234" ht="12.75">
      <c r="O1234" s="3"/>
    </row>
    <row r="1235" ht="12.75">
      <c r="O1235" s="3"/>
    </row>
    <row r="1236" ht="12.75">
      <c r="O1236" s="3"/>
    </row>
    <row r="1237" ht="12.75">
      <c r="O1237" s="3"/>
    </row>
    <row r="1238" ht="12.75">
      <c r="O1238" s="3"/>
    </row>
    <row r="1239" ht="12.75">
      <c r="O1239" s="3"/>
    </row>
    <row r="1240" ht="12.75">
      <c r="O1240" s="3"/>
    </row>
    <row r="1241" ht="12.75">
      <c r="O1241" s="3"/>
    </row>
    <row r="1242" ht="12.75">
      <c r="O1242" s="3"/>
    </row>
    <row r="1243" ht="12.75">
      <c r="O1243" s="3"/>
    </row>
    <row r="1244" ht="12.75">
      <c r="O1244" s="3"/>
    </row>
    <row r="1245" ht="12.75">
      <c r="O1245" s="3"/>
    </row>
    <row r="1246" ht="12.75">
      <c r="O1246" s="3"/>
    </row>
    <row r="1247" ht="12.75">
      <c r="O1247" s="3"/>
    </row>
    <row r="1248" spans="12:15" ht="12.75">
      <c r="L1248" t="s">
        <v>17</v>
      </c>
      <c r="O1248" s="3"/>
    </row>
    <row r="1249" ht="12.75">
      <c r="O1249" s="3"/>
    </row>
    <row r="1250" ht="12.75">
      <c r="O1250" s="3"/>
    </row>
    <row r="1251" ht="12.75">
      <c r="O1251" s="3"/>
    </row>
    <row r="1252" ht="12.75">
      <c r="O1252" s="3"/>
    </row>
    <row r="1253" ht="12.75">
      <c r="O1253" s="3"/>
    </row>
    <row r="1254" ht="12.75">
      <c r="O1254" s="3"/>
    </row>
    <row r="1255" ht="12.75">
      <c r="O1255" s="3"/>
    </row>
    <row r="1256" ht="12.75">
      <c r="O1256" s="3"/>
    </row>
    <row r="1257" ht="12.75">
      <c r="O1257" s="3"/>
    </row>
    <row r="1258" ht="12.75">
      <c r="O1258" s="3"/>
    </row>
    <row r="1259" ht="12.75">
      <c r="O1259" s="3"/>
    </row>
    <row r="1260" ht="12.75">
      <c r="O1260" s="3"/>
    </row>
    <row r="1261" ht="12.75">
      <c r="O1261" s="3"/>
    </row>
    <row r="1262" ht="12.75">
      <c r="O1262" s="3"/>
    </row>
    <row r="1263" ht="12.75">
      <c r="O1263" s="3"/>
    </row>
    <row r="1264" ht="12.75">
      <c r="O1264" s="3"/>
    </row>
    <row r="1265" ht="12.75">
      <c r="O1265" s="3"/>
    </row>
    <row r="1266" ht="12.75">
      <c r="O1266" s="3"/>
    </row>
    <row r="1267" ht="12.75">
      <c r="O1267" s="3"/>
    </row>
    <row r="1268" ht="12.75">
      <c r="O1268" s="3"/>
    </row>
    <row r="1269" ht="12.75">
      <c r="O1269" s="3"/>
    </row>
    <row r="1270" ht="12.75">
      <c r="O1270" s="3"/>
    </row>
    <row r="1271" ht="12.75">
      <c r="O1271" s="3"/>
    </row>
    <row r="1272" ht="12.75">
      <c r="O1272" s="3"/>
    </row>
    <row r="1273" ht="12.75">
      <c r="O1273" s="3"/>
    </row>
    <row r="1274" ht="12.75">
      <c r="O1274" s="3"/>
    </row>
    <row r="1275" ht="12.75">
      <c r="O1275" s="3"/>
    </row>
    <row r="1276" ht="12.75">
      <c r="O1276" s="3"/>
    </row>
    <row r="1277" ht="12.75">
      <c r="O1277" s="3"/>
    </row>
    <row r="1278" ht="12.75">
      <c r="O1278" s="3"/>
    </row>
    <row r="1279" ht="12.75">
      <c r="O1279" s="3"/>
    </row>
    <row r="1280" ht="12.75">
      <c r="O1280" s="3"/>
    </row>
    <row r="1281" ht="12.75">
      <c r="O1281" s="3"/>
    </row>
    <row r="1282" ht="12.75">
      <c r="O1282" s="3"/>
    </row>
    <row r="1283" ht="12.75">
      <c r="O1283" s="3"/>
    </row>
    <row r="1284" ht="12.75">
      <c r="O1284" s="3"/>
    </row>
    <row r="1285" ht="12.75">
      <c r="O1285" s="3"/>
    </row>
    <row r="1286" ht="12.75">
      <c r="O1286" s="3"/>
    </row>
    <row r="1287" ht="12.75">
      <c r="O1287" s="3"/>
    </row>
    <row r="1288" ht="12.75">
      <c r="O1288" s="3"/>
    </row>
    <row r="1289" ht="12.75">
      <c r="O1289" s="3"/>
    </row>
    <row r="1290" ht="12.75">
      <c r="O1290" s="3"/>
    </row>
    <row r="1291" ht="12.75">
      <c r="O1291" s="3"/>
    </row>
    <row r="1292" ht="12.75">
      <c r="O1292" s="3"/>
    </row>
    <row r="1293" ht="12.75">
      <c r="O1293" s="3"/>
    </row>
    <row r="1294" ht="12.75">
      <c r="O1294" s="3"/>
    </row>
    <row r="1295" ht="12.75">
      <c r="O1295" s="3"/>
    </row>
    <row r="1296" ht="12.75">
      <c r="O1296" s="3"/>
    </row>
    <row r="1297" ht="12.75">
      <c r="O1297" s="3"/>
    </row>
    <row r="1298" ht="12.75">
      <c r="O1298" s="3"/>
    </row>
    <row r="1299" ht="12.75">
      <c r="O1299" s="3"/>
    </row>
    <row r="1300" ht="12.75">
      <c r="O1300" s="3"/>
    </row>
    <row r="1301" ht="12.75">
      <c r="O1301" s="3"/>
    </row>
    <row r="1302" ht="12.75">
      <c r="O1302" s="3"/>
    </row>
    <row r="1303" ht="12.75">
      <c r="O1303" s="3"/>
    </row>
    <row r="1304" ht="12.75">
      <c r="O1304" s="3"/>
    </row>
    <row r="1305" ht="12.75">
      <c r="O1305" s="3"/>
    </row>
    <row r="1306" ht="12.75">
      <c r="O1306" s="3"/>
    </row>
    <row r="1307" ht="12.75">
      <c r="O1307" s="3"/>
    </row>
    <row r="1308" ht="12.75">
      <c r="O1308" s="3"/>
    </row>
    <row r="1309" ht="12.75">
      <c r="O1309" s="3"/>
    </row>
    <row r="1310" ht="12.75">
      <c r="O1310" s="3"/>
    </row>
    <row r="1311" ht="12.75">
      <c r="O1311" s="3"/>
    </row>
    <row r="1312" ht="12.75">
      <c r="O1312" s="3"/>
    </row>
    <row r="1313" ht="12.75">
      <c r="O1313" s="3"/>
    </row>
    <row r="1314" ht="12.75">
      <c r="O1314" s="3"/>
    </row>
    <row r="1315" ht="12.75">
      <c r="O1315" s="3"/>
    </row>
    <row r="1316" ht="12.75">
      <c r="O1316" s="3"/>
    </row>
    <row r="1317" ht="12.75">
      <c r="O1317" s="3"/>
    </row>
    <row r="1318" ht="12.75">
      <c r="O1318" s="3"/>
    </row>
    <row r="1319" ht="12.75">
      <c r="O1319" s="3"/>
    </row>
    <row r="1320" ht="12.75">
      <c r="O1320" s="3"/>
    </row>
    <row r="1321" ht="12.75">
      <c r="O1321" s="3"/>
    </row>
    <row r="1322" ht="12.75">
      <c r="O1322" s="3"/>
    </row>
    <row r="1323" ht="12.75">
      <c r="O1323" s="3"/>
    </row>
    <row r="1324" ht="12.75">
      <c r="O1324" s="3"/>
    </row>
    <row r="1325" ht="12.75">
      <c r="O1325" s="3"/>
    </row>
    <row r="1326" ht="12.75">
      <c r="O1326" s="3"/>
    </row>
    <row r="1327" ht="12.75">
      <c r="O1327" s="3"/>
    </row>
    <row r="1328" ht="12.75">
      <c r="O1328" s="3"/>
    </row>
    <row r="1329" ht="12.75">
      <c r="O1329" s="3"/>
    </row>
    <row r="1330" ht="12.75">
      <c r="O1330" s="3"/>
    </row>
    <row r="1331" ht="12.75">
      <c r="O1331" s="3"/>
    </row>
    <row r="1332" ht="12.75">
      <c r="O1332" s="3"/>
    </row>
    <row r="1333" ht="12.75">
      <c r="O1333" s="3"/>
    </row>
    <row r="1334" ht="12.75">
      <c r="O1334" s="3"/>
    </row>
    <row r="1335" ht="12.75">
      <c r="O1335" s="3"/>
    </row>
    <row r="1336" ht="12.75">
      <c r="O1336" s="3"/>
    </row>
    <row r="1337" ht="12.75">
      <c r="O1337" s="3"/>
    </row>
    <row r="1338" ht="12.75">
      <c r="O1338" s="3"/>
    </row>
    <row r="1339" ht="12.75">
      <c r="O1339" s="3"/>
    </row>
    <row r="1340" ht="12.75">
      <c r="O1340" s="3"/>
    </row>
    <row r="1341" ht="12.75">
      <c r="O1341" s="3"/>
    </row>
    <row r="1342" ht="12.75">
      <c r="O1342" s="3"/>
    </row>
    <row r="1343" ht="12.75">
      <c r="O1343" s="3"/>
    </row>
    <row r="1344" ht="12.75">
      <c r="O1344" s="3"/>
    </row>
    <row r="1345" ht="12.75">
      <c r="O1345" s="3"/>
    </row>
    <row r="1346" ht="12.75">
      <c r="O1346" s="3"/>
    </row>
    <row r="1347" ht="12.75">
      <c r="O1347" s="3"/>
    </row>
    <row r="1348" ht="12.75">
      <c r="O1348" s="3"/>
    </row>
    <row r="1349" ht="12.75">
      <c r="O1349" s="3"/>
    </row>
    <row r="1350" ht="12.75">
      <c r="O1350" s="3"/>
    </row>
    <row r="1351" ht="12.75">
      <c r="O1351" s="3"/>
    </row>
    <row r="1352" ht="12.75">
      <c r="O1352" s="3"/>
    </row>
    <row r="1353" ht="12.75">
      <c r="O1353" s="3"/>
    </row>
    <row r="1354" ht="12.75">
      <c r="O1354" s="3"/>
    </row>
    <row r="1355" ht="12.75">
      <c r="O1355" s="3"/>
    </row>
    <row r="1356" ht="12.75">
      <c r="O1356" s="3"/>
    </row>
    <row r="1357" ht="12.75">
      <c r="O1357" s="3"/>
    </row>
    <row r="1358" ht="12.75">
      <c r="O1358" s="3"/>
    </row>
    <row r="1359" ht="12.75">
      <c r="O1359" s="3"/>
    </row>
    <row r="1360" ht="12.75">
      <c r="O1360" s="3"/>
    </row>
    <row r="1361" ht="12.75">
      <c r="O1361" s="3"/>
    </row>
    <row r="1362" ht="12.75">
      <c r="O1362" s="3"/>
    </row>
    <row r="1363" ht="12.75">
      <c r="O1363" s="3"/>
    </row>
    <row r="1364" ht="12.75">
      <c r="O1364" s="3"/>
    </row>
    <row r="1365" ht="12.75">
      <c r="O1365" s="3"/>
    </row>
    <row r="1366" ht="12.75">
      <c r="O1366" s="3"/>
    </row>
    <row r="1367" ht="12.75">
      <c r="O1367" s="3"/>
    </row>
    <row r="1368" ht="12.75">
      <c r="O1368" s="3"/>
    </row>
    <row r="1369" ht="12.75">
      <c r="O1369" s="3"/>
    </row>
    <row r="1370" ht="12.75">
      <c r="O1370" s="3"/>
    </row>
    <row r="1371" ht="12.75">
      <c r="O1371" s="3"/>
    </row>
    <row r="1372" ht="12.75">
      <c r="O1372" s="3"/>
    </row>
    <row r="1373" ht="12.75">
      <c r="O1373" s="3"/>
    </row>
    <row r="1374" ht="12.75">
      <c r="O1374" s="3"/>
    </row>
    <row r="1375" ht="12.75">
      <c r="O1375" s="3"/>
    </row>
    <row r="1376" ht="12.75">
      <c r="O1376" s="3"/>
    </row>
    <row r="1377" ht="12.75">
      <c r="O1377" s="3"/>
    </row>
    <row r="1378" ht="12.75">
      <c r="O1378" s="3"/>
    </row>
    <row r="1379" ht="12.75">
      <c r="O1379" s="3"/>
    </row>
    <row r="1380" ht="12.75">
      <c r="O1380" s="3"/>
    </row>
    <row r="1381" ht="12.75">
      <c r="O1381" s="3"/>
    </row>
    <row r="1382" ht="12.75">
      <c r="O1382" s="3"/>
    </row>
    <row r="1383" ht="12.75">
      <c r="O1383" s="3"/>
    </row>
    <row r="1384" ht="12.75">
      <c r="O1384" s="3"/>
    </row>
    <row r="1385" ht="12.75">
      <c r="O1385" s="3"/>
    </row>
    <row r="1386" ht="12.75">
      <c r="O1386" s="3"/>
    </row>
    <row r="1387" ht="12.75">
      <c r="O1387" s="3"/>
    </row>
    <row r="1388" ht="12.75">
      <c r="O1388" s="3"/>
    </row>
    <row r="1389" ht="12.75">
      <c r="O1389" s="3"/>
    </row>
    <row r="1390" ht="12.75">
      <c r="O1390" s="3"/>
    </row>
    <row r="1391" ht="12.75">
      <c r="O1391" s="3"/>
    </row>
    <row r="1392" ht="12.75">
      <c r="O1392" s="3"/>
    </row>
    <row r="1393" ht="12.75">
      <c r="O1393" s="3"/>
    </row>
    <row r="1394" ht="12.75">
      <c r="O1394" s="3"/>
    </row>
    <row r="1395" ht="12.75">
      <c r="O1395" s="3"/>
    </row>
    <row r="1396" ht="12.75">
      <c r="O1396" s="3"/>
    </row>
    <row r="1397" ht="12.75">
      <c r="O1397" s="3"/>
    </row>
    <row r="1398" ht="12.75">
      <c r="O1398" s="3"/>
    </row>
    <row r="1399" ht="12.75">
      <c r="O1399" s="3"/>
    </row>
    <row r="1400" ht="12.75">
      <c r="O1400" s="3"/>
    </row>
    <row r="1401" ht="12.75">
      <c r="O1401" s="3"/>
    </row>
    <row r="1402" ht="12.75">
      <c r="O1402" s="3"/>
    </row>
    <row r="1403" ht="12.75">
      <c r="O1403" s="3"/>
    </row>
    <row r="1404" ht="12.75">
      <c r="O1404" s="3"/>
    </row>
    <row r="1405" ht="12.75">
      <c r="O1405" s="3"/>
    </row>
    <row r="1406" ht="12.75">
      <c r="O1406" s="3"/>
    </row>
    <row r="1407" ht="12.75">
      <c r="O1407" s="3"/>
    </row>
    <row r="1408" ht="12.75">
      <c r="O1408" s="3"/>
    </row>
    <row r="1409" ht="12.75">
      <c r="O1409" s="3"/>
    </row>
    <row r="1410" ht="12.75">
      <c r="O1410" s="3"/>
    </row>
    <row r="1411" ht="12.75">
      <c r="O1411" s="3"/>
    </row>
    <row r="1412" ht="12.75">
      <c r="O1412" s="3"/>
    </row>
    <row r="1413" ht="12.75">
      <c r="O1413" s="3"/>
    </row>
    <row r="1414" ht="12.75">
      <c r="O1414" s="3"/>
    </row>
    <row r="1415" ht="12.75">
      <c r="O1415" s="3"/>
    </row>
    <row r="1416" ht="12.75">
      <c r="O1416" s="3"/>
    </row>
    <row r="1417" ht="12.75">
      <c r="O1417" s="3"/>
    </row>
    <row r="1418" ht="12.75">
      <c r="O1418" s="3"/>
    </row>
    <row r="1419" ht="12.75">
      <c r="O1419" s="3"/>
    </row>
    <row r="1420" ht="12.75">
      <c r="O1420" s="3"/>
    </row>
    <row r="1421" ht="12.75">
      <c r="O1421" s="3"/>
    </row>
    <row r="1422" ht="12.75">
      <c r="O1422" s="3"/>
    </row>
    <row r="1423" ht="12.75">
      <c r="O1423" s="3"/>
    </row>
    <row r="1424" ht="12.75">
      <c r="O1424" s="3"/>
    </row>
    <row r="1425" ht="12.75">
      <c r="O1425" s="3"/>
    </row>
    <row r="1426" ht="12.75">
      <c r="O1426" s="3"/>
    </row>
    <row r="1427" ht="12.75">
      <c r="O1427" s="3"/>
    </row>
    <row r="1428" ht="12.75">
      <c r="O1428" s="3"/>
    </row>
    <row r="1429" ht="12.75">
      <c r="O1429" s="3"/>
    </row>
    <row r="1430" ht="12.75">
      <c r="O1430" s="3"/>
    </row>
    <row r="1431" ht="12.75">
      <c r="O1431" s="3"/>
    </row>
    <row r="1432" ht="12.75">
      <c r="O1432" s="3"/>
    </row>
    <row r="1433" ht="12.75">
      <c r="O1433" s="3"/>
    </row>
    <row r="1434" ht="12.75">
      <c r="O1434" s="3"/>
    </row>
    <row r="1435" ht="12.75">
      <c r="O1435" s="3"/>
    </row>
    <row r="1436" ht="12.75">
      <c r="O1436" s="3"/>
    </row>
    <row r="1437" ht="12.75">
      <c r="O1437" s="3"/>
    </row>
    <row r="1438" ht="12.75">
      <c r="O1438" s="3"/>
    </row>
    <row r="1439" ht="12.75">
      <c r="O1439" s="3"/>
    </row>
    <row r="1440" ht="12.75">
      <c r="O1440" s="3"/>
    </row>
    <row r="1441" ht="12.75">
      <c r="O1441" s="3"/>
    </row>
    <row r="1442" ht="12.75">
      <c r="O1442" s="3"/>
    </row>
    <row r="1443" ht="12.75">
      <c r="O1443" s="3"/>
    </row>
    <row r="1444" ht="12.75">
      <c r="O1444" s="3"/>
    </row>
    <row r="1445" ht="12.75">
      <c r="O1445" s="3"/>
    </row>
    <row r="1446" ht="12.75">
      <c r="O1446" s="3"/>
    </row>
    <row r="1447" ht="12.75">
      <c r="O1447" s="3"/>
    </row>
    <row r="1448" ht="12.75">
      <c r="O1448" s="3"/>
    </row>
    <row r="1449" ht="12.75">
      <c r="O1449" s="3"/>
    </row>
    <row r="1450" ht="12.75">
      <c r="O1450" s="3"/>
    </row>
    <row r="1451" ht="12.75">
      <c r="O1451" s="3"/>
    </row>
    <row r="1452" ht="12.75">
      <c r="O1452" s="3"/>
    </row>
    <row r="1453" ht="12.75">
      <c r="O1453" s="3"/>
    </row>
    <row r="1454" ht="12.75">
      <c r="O1454" s="3"/>
    </row>
    <row r="1455" ht="12.75">
      <c r="O1455" s="3"/>
    </row>
    <row r="1456" ht="12.75">
      <c r="O1456" s="3"/>
    </row>
    <row r="1457" ht="12.75">
      <c r="O1457" s="3"/>
    </row>
    <row r="1458" ht="12.75">
      <c r="O1458" s="3"/>
    </row>
    <row r="1459" ht="12.75">
      <c r="O1459" s="3"/>
    </row>
    <row r="1460" ht="12.75">
      <c r="O1460" s="3"/>
    </row>
    <row r="1461" ht="12.75">
      <c r="O1461" s="3"/>
    </row>
    <row r="1462" ht="12.75">
      <c r="O1462" s="3"/>
    </row>
    <row r="1463" ht="12.75">
      <c r="O1463" s="3"/>
    </row>
    <row r="1464" ht="12.75">
      <c r="O1464" s="3"/>
    </row>
    <row r="1465" ht="12.75">
      <c r="O1465" s="3"/>
    </row>
    <row r="1466" ht="12.75">
      <c r="O1466" s="3"/>
    </row>
    <row r="1467" ht="12.75">
      <c r="O1467" s="3"/>
    </row>
    <row r="1468" ht="12.75">
      <c r="O1468" s="3"/>
    </row>
    <row r="1469" ht="12.75">
      <c r="O1469" s="3"/>
    </row>
    <row r="1470" ht="12.75">
      <c r="O1470" s="3"/>
    </row>
    <row r="1471" ht="12.75">
      <c r="O1471" s="3"/>
    </row>
    <row r="1472" ht="12.75">
      <c r="O1472" s="3"/>
    </row>
    <row r="1473" ht="12.75">
      <c r="O1473" s="3"/>
    </row>
    <row r="1474" ht="12.75">
      <c r="O1474" s="3"/>
    </row>
    <row r="1475" ht="12.75">
      <c r="O1475" s="3"/>
    </row>
    <row r="1476" ht="12.75">
      <c r="O1476" s="3"/>
    </row>
    <row r="1477" ht="12.75">
      <c r="O1477" s="3"/>
    </row>
    <row r="1478" ht="12.75">
      <c r="O1478" s="3"/>
    </row>
    <row r="1479" ht="12.75">
      <c r="O1479" s="3"/>
    </row>
    <row r="1480" ht="12.75">
      <c r="O1480" s="3"/>
    </row>
    <row r="1481" ht="12.75">
      <c r="O1481" s="3"/>
    </row>
    <row r="1482" ht="12.75">
      <c r="O1482" s="3"/>
    </row>
    <row r="1483" ht="12.75">
      <c r="O1483" s="3"/>
    </row>
    <row r="1484" ht="12.75">
      <c r="O1484" s="3"/>
    </row>
    <row r="1485" ht="12.75">
      <c r="O1485" s="3"/>
    </row>
    <row r="1486" ht="12.75">
      <c r="O1486" s="3"/>
    </row>
    <row r="1487" ht="12.75">
      <c r="O1487" s="3"/>
    </row>
    <row r="1488" ht="12.75">
      <c r="O1488" s="3"/>
    </row>
    <row r="1489" ht="12.75">
      <c r="O1489" s="3"/>
    </row>
    <row r="1490" ht="12.75">
      <c r="O1490" s="3"/>
    </row>
    <row r="1491" ht="12.75">
      <c r="O1491" s="3"/>
    </row>
    <row r="1492" ht="12.75">
      <c r="O1492" s="3"/>
    </row>
    <row r="1493" ht="12.75">
      <c r="O1493" s="3"/>
    </row>
    <row r="1494" ht="12.75">
      <c r="O1494" s="3"/>
    </row>
    <row r="1495" ht="12.75">
      <c r="O1495" s="3"/>
    </row>
    <row r="1496" ht="12.75">
      <c r="O1496" s="3"/>
    </row>
    <row r="1497" ht="12.75">
      <c r="O1497" s="3"/>
    </row>
    <row r="1498" ht="12.75">
      <c r="O1498" s="3"/>
    </row>
    <row r="1499" ht="12.75">
      <c r="O1499" s="3"/>
    </row>
    <row r="1500" ht="12.75">
      <c r="O1500" s="3"/>
    </row>
    <row r="1501" ht="12.75">
      <c r="O1501" s="3"/>
    </row>
    <row r="1502" ht="12.75">
      <c r="O1502" s="3"/>
    </row>
    <row r="1503" ht="12.75">
      <c r="O1503" s="3"/>
    </row>
    <row r="1504" ht="12.75">
      <c r="O1504" s="3"/>
    </row>
    <row r="1505" ht="12.75">
      <c r="O1505" s="3"/>
    </row>
    <row r="1506" ht="12.75">
      <c r="O1506" s="3"/>
    </row>
    <row r="1507" ht="12.75">
      <c r="O1507" s="3"/>
    </row>
    <row r="1508" ht="12.75">
      <c r="O1508" s="3"/>
    </row>
    <row r="1509" ht="12.75">
      <c r="O1509" s="3"/>
    </row>
    <row r="1510" ht="12.75">
      <c r="O1510" s="3"/>
    </row>
    <row r="1511" ht="12.75">
      <c r="O1511" s="3"/>
    </row>
    <row r="1512" ht="12.75">
      <c r="O1512" s="3"/>
    </row>
    <row r="1513" ht="12.75">
      <c r="O1513" s="3"/>
    </row>
    <row r="1514" ht="12.75">
      <c r="O1514" s="3"/>
    </row>
    <row r="1515" ht="12.75">
      <c r="O1515" s="3"/>
    </row>
    <row r="1516" ht="12.75">
      <c r="O1516" s="3"/>
    </row>
    <row r="1517" ht="12.75">
      <c r="O1517" s="3"/>
    </row>
    <row r="1518" ht="12.75">
      <c r="O1518" s="3"/>
    </row>
    <row r="1519" ht="12.75">
      <c r="O1519" s="3"/>
    </row>
    <row r="1520" ht="12.75">
      <c r="O1520" s="3"/>
    </row>
    <row r="1521" ht="12.75">
      <c r="O1521" s="3"/>
    </row>
    <row r="1522" ht="12.75">
      <c r="O1522" s="3"/>
    </row>
    <row r="1523" ht="12.75">
      <c r="O1523" s="3"/>
    </row>
    <row r="1524" ht="12.75">
      <c r="O1524" s="3"/>
    </row>
    <row r="1525" ht="12.75">
      <c r="O1525" s="3"/>
    </row>
    <row r="1526" ht="12.75">
      <c r="O1526" s="3"/>
    </row>
    <row r="1527" ht="12.75">
      <c r="O1527" s="3"/>
    </row>
    <row r="1528" ht="12.75">
      <c r="O1528" s="3"/>
    </row>
    <row r="1529" ht="12.75">
      <c r="O1529" s="3"/>
    </row>
    <row r="1530" ht="12.75">
      <c r="O1530" s="3"/>
    </row>
    <row r="1531" ht="12.75">
      <c r="O1531" s="3"/>
    </row>
    <row r="1532" ht="12.75">
      <c r="O1532" s="3"/>
    </row>
    <row r="1533" ht="12.75">
      <c r="O1533" s="3"/>
    </row>
    <row r="1534" ht="12.75">
      <c r="O1534" s="3"/>
    </row>
    <row r="1535" ht="12.75">
      <c r="O1535" s="3"/>
    </row>
    <row r="1536" ht="12.75">
      <c r="O1536" s="3"/>
    </row>
    <row r="1537" ht="12.75">
      <c r="O1537" s="3"/>
    </row>
    <row r="1538" ht="12.75">
      <c r="O1538" s="3"/>
    </row>
    <row r="1539" ht="12.75">
      <c r="O1539" s="3"/>
    </row>
    <row r="1540" ht="12.75">
      <c r="O1540" s="3"/>
    </row>
    <row r="1541" ht="12.75">
      <c r="O1541" s="3"/>
    </row>
    <row r="1542" ht="12.75">
      <c r="O1542" s="3"/>
    </row>
    <row r="1543" ht="12.75">
      <c r="O1543" s="3"/>
    </row>
    <row r="1544" ht="12.75">
      <c r="O1544" s="3"/>
    </row>
    <row r="1545" ht="12.75">
      <c r="O1545" s="3"/>
    </row>
    <row r="1546" ht="12.75">
      <c r="O1546" s="3"/>
    </row>
    <row r="1547" ht="12.75">
      <c r="O1547" s="3"/>
    </row>
    <row r="1548" ht="12.75">
      <c r="O1548" s="3"/>
    </row>
    <row r="1549" ht="12.75">
      <c r="O1549" s="3"/>
    </row>
    <row r="1550" ht="12.75">
      <c r="O1550" s="3"/>
    </row>
    <row r="1551" ht="12.75">
      <c r="O1551" s="3"/>
    </row>
    <row r="1552" ht="12.75">
      <c r="O1552" s="3"/>
    </row>
    <row r="1553" ht="12.75">
      <c r="O1553" s="3"/>
    </row>
    <row r="1554" ht="12.75">
      <c r="O1554" s="3"/>
    </row>
    <row r="1555" ht="12.75">
      <c r="O1555" s="3"/>
    </row>
    <row r="1556" ht="12.75">
      <c r="O1556" s="3"/>
    </row>
    <row r="1557" ht="12.75">
      <c r="O1557" s="3"/>
    </row>
    <row r="1558" ht="12.75">
      <c r="O1558" s="3"/>
    </row>
    <row r="1559" ht="12.75">
      <c r="O1559" s="3"/>
    </row>
    <row r="1560" ht="12.75">
      <c r="O1560" s="3"/>
    </row>
    <row r="1561" ht="12.75">
      <c r="O1561" s="3"/>
    </row>
    <row r="1562" ht="12.75">
      <c r="O1562" s="3"/>
    </row>
    <row r="1563" ht="12.75">
      <c r="O1563" s="3"/>
    </row>
    <row r="1564" ht="12.75">
      <c r="O1564" s="3"/>
    </row>
    <row r="1565" ht="12.75">
      <c r="O1565" s="3"/>
    </row>
    <row r="1566" ht="12.75">
      <c r="O1566" s="3"/>
    </row>
    <row r="1567" ht="12.75">
      <c r="O1567" s="3"/>
    </row>
    <row r="1568" ht="12.75">
      <c r="O1568" s="3"/>
    </row>
    <row r="1569" ht="12.75">
      <c r="O1569" s="3"/>
    </row>
    <row r="1570" ht="12.75">
      <c r="O1570" s="3"/>
    </row>
    <row r="1571" ht="12.75">
      <c r="O1571" s="3"/>
    </row>
    <row r="1572" ht="12.75">
      <c r="O1572" s="3"/>
    </row>
    <row r="1573" ht="12.75">
      <c r="O1573" s="3"/>
    </row>
    <row r="1574" ht="12.75">
      <c r="O1574" s="3"/>
    </row>
    <row r="1575" ht="12.75">
      <c r="O1575" s="3"/>
    </row>
    <row r="1576" ht="12.75">
      <c r="O1576" s="3"/>
    </row>
    <row r="1577" ht="12.75">
      <c r="O1577" s="3"/>
    </row>
    <row r="1578" ht="12.75">
      <c r="O1578" s="3"/>
    </row>
    <row r="1579" ht="12.75">
      <c r="O1579" s="3"/>
    </row>
    <row r="1580" ht="12.75">
      <c r="O1580" s="3"/>
    </row>
    <row r="1581" ht="12.75">
      <c r="O1581" s="3"/>
    </row>
    <row r="1582" ht="12.75">
      <c r="O1582" s="3"/>
    </row>
    <row r="1583" ht="12.75">
      <c r="O1583" s="3"/>
    </row>
    <row r="1584" ht="12.75">
      <c r="O1584" s="3"/>
    </row>
    <row r="1585" ht="12.75">
      <c r="O1585" s="3"/>
    </row>
    <row r="1586" ht="12.75">
      <c r="O1586" s="3"/>
    </row>
    <row r="1587" ht="12.75">
      <c r="O1587" s="3"/>
    </row>
    <row r="1588" ht="12.75">
      <c r="O1588" s="3"/>
    </row>
    <row r="1589" ht="12.75">
      <c r="O1589" s="3"/>
    </row>
    <row r="1590" ht="12.75">
      <c r="O1590" s="3"/>
    </row>
    <row r="1591" ht="12.75">
      <c r="O1591" s="3"/>
    </row>
    <row r="1592" ht="12.75">
      <c r="O1592" s="3"/>
    </row>
    <row r="1593" ht="12.75">
      <c r="O1593" s="3"/>
    </row>
    <row r="1594" ht="12.75">
      <c r="O1594" s="3"/>
    </row>
    <row r="1595" ht="12.75">
      <c r="O1595" s="3"/>
    </row>
    <row r="1596" ht="12.75">
      <c r="O1596" s="3"/>
    </row>
    <row r="1597" ht="12.75">
      <c r="O1597" s="3"/>
    </row>
    <row r="1598" ht="12.75">
      <c r="O1598" s="3"/>
    </row>
    <row r="1599" ht="12.75">
      <c r="O1599" s="3"/>
    </row>
    <row r="1600" ht="12.75">
      <c r="O1600" s="3"/>
    </row>
    <row r="1601" ht="12.75">
      <c r="O1601" s="3"/>
    </row>
    <row r="1602" ht="12.75">
      <c r="O1602" s="3"/>
    </row>
    <row r="1603" ht="12.75">
      <c r="O1603" s="3"/>
    </row>
    <row r="1604" ht="12.75">
      <c r="O1604" s="3"/>
    </row>
    <row r="1605" ht="12.75">
      <c r="O1605" s="3"/>
    </row>
    <row r="1606" ht="12.75">
      <c r="O1606" s="3"/>
    </row>
    <row r="1607" ht="12.75">
      <c r="O1607" s="3"/>
    </row>
    <row r="1608" ht="12.75">
      <c r="O1608" s="3"/>
    </row>
    <row r="1609" ht="12.75">
      <c r="O1609" s="3"/>
    </row>
    <row r="1610" ht="12.75">
      <c r="O1610" s="3"/>
    </row>
    <row r="1611" ht="12.75">
      <c r="O1611" s="3"/>
    </row>
    <row r="1612" ht="12.75">
      <c r="O1612" s="3"/>
    </row>
    <row r="1613" ht="12.75">
      <c r="O1613" s="3"/>
    </row>
    <row r="1614" ht="12.75">
      <c r="O1614" s="3"/>
    </row>
    <row r="1615" ht="12.75">
      <c r="O1615" s="3"/>
    </row>
    <row r="1616" ht="12.75">
      <c r="O1616" s="3"/>
    </row>
    <row r="1617" ht="12.75">
      <c r="O1617" s="3"/>
    </row>
    <row r="1618" ht="12.75">
      <c r="O1618" s="3"/>
    </row>
    <row r="1619" ht="12.75">
      <c r="O1619" s="3"/>
    </row>
    <row r="1620" ht="12.75">
      <c r="O1620" s="3"/>
    </row>
    <row r="1621" ht="12.75">
      <c r="O1621" s="3"/>
    </row>
    <row r="1622" ht="12.75">
      <c r="O1622" s="3"/>
    </row>
    <row r="1623" ht="12.75">
      <c r="O1623" s="3"/>
    </row>
    <row r="1624" ht="12.75">
      <c r="O1624" s="3"/>
    </row>
    <row r="1625" ht="12.75">
      <c r="O1625" s="3"/>
    </row>
    <row r="1626" ht="12.75">
      <c r="O1626" s="3"/>
    </row>
    <row r="1627" ht="12.75">
      <c r="O1627" s="3"/>
    </row>
    <row r="1628" ht="12.75">
      <c r="O1628" s="3"/>
    </row>
    <row r="1629" ht="12.75">
      <c r="O1629" s="3"/>
    </row>
    <row r="1630" ht="12.75">
      <c r="O1630" s="3"/>
    </row>
    <row r="1631" ht="12.75">
      <c r="O1631" s="3"/>
    </row>
    <row r="1632" ht="12.75">
      <c r="O1632" s="3"/>
    </row>
    <row r="1633" ht="12.75">
      <c r="O1633" s="3"/>
    </row>
    <row r="1634" ht="12.75">
      <c r="O1634" s="3"/>
    </row>
    <row r="1635" ht="12.75">
      <c r="O1635" s="3"/>
    </row>
    <row r="1636" ht="12.75">
      <c r="O1636" s="3"/>
    </row>
    <row r="1637" ht="12.75">
      <c r="O1637" s="3"/>
    </row>
    <row r="1638" ht="12.75">
      <c r="O1638" s="3"/>
    </row>
    <row r="1639" ht="12.75">
      <c r="O1639" s="3"/>
    </row>
    <row r="1640" ht="12.75">
      <c r="O1640" s="3"/>
    </row>
    <row r="1641" ht="12.75">
      <c r="O1641" s="3"/>
    </row>
    <row r="1642" ht="12.75">
      <c r="O1642" s="3"/>
    </row>
    <row r="1643" ht="12.75">
      <c r="O1643" s="3"/>
    </row>
    <row r="1644" ht="12.75">
      <c r="O1644" s="3"/>
    </row>
    <row r="1645" ht="12.75">
      <c r="O1645" s="3"/>
    </row>
    <row r="1646" ht="12.75">
      <c r="O1646" s="3"/>
    </row>
    <row r="1647" ht="12.75">
      <c r="O1647" s="3"/>
    </row>
    <row r="1648" ht="12.75">
      <c r="O1648" s="3"/>
    </row>
    <row r="1649" ht="12.75">
      <c r="O1649" s="3"/>
    </row>
    <row r="1650" ht="12.75">
      <c r="O1650" s="3"/>
    </row>
    <row r="1651" ht="12.75">
      <c r="O1651" s="3"/>
    </row>
    <row r="1652" ht="12.75">
      <c r="O1652" s="3"/>
    </row>
    <row r="1653" ht="12.75">
      <c r="O1653" s="3"/>
    </row>
    <row r="1654" ht="12.75">
      <c r="O1654" s="3"/>
    </row>
    <row r="1655" ht="12.75">
      <c r="O1655" s="3"/>
    </row>
    <row r="1656" ht="12.75">
      <c r="O1656" s="3"/>
    </row>
    <row r="1657" ht="12.75">
      <c r="O1657" s="3"/>
    </row>
    <row r="1658" ht="12.75">
      <c r="O1658" s="3"/>
    </row>
    <row r="1659" ht="12.75">
      <c r="O1659" s="3"/>
    </row>
    <row r="1660" ht="12.75">
      <c r="O1660" s="3"/>
    </row>
    <row r="1661" ht="12.75">
      <c r="O1661" s="3"/>
    </row>
    <row r="1662" ht="12.75">
      <c r="O1662" s="3"/>
    </row>
    <row r="1663" ht="12.75">
      <c r="O1663" s="3"/>
    </row>
    <row r="1664" ht="12.75">
      <c r="O1664" s="3"/>
    </row>
    <row r="1665" ht="12.75">
      <c r="O1665" s="3"/>
    </row>
    <row r="1666" ht="12.75">
      <c r="O1666" s="3"/>
    </row>
    <row r="1667" ht="12.75">
      <c r="O1667" s="3"/>
    </row>
    <row r="1668" ht="12.75">
      <c r="O1668" s="3"/>
    </row>
    <row r="1669" ht="12.75">
      <c r="O1669" s="3"/>
    </row>
    <row r="1670" ht="12.75">
      <c r="O1670" s="3"/>
    </row>
    <row r="1671" ht="12.75">
      <c r="O1671" s="3"/>
    </row>
    <row r="1672" ht="12.75">
      <c r="O1672" s="3"/>
    </row>
    <row r="1673" ht="12.75">
      <c r="O1673" s="3"/>
    </row>
    <row r="1674" ht="12.75">
      <c r="O1674" s="3"/>
    </row>
    <row r="1675" ht="12.75">
      <c r="O1675" s="3"/>
    </row>
    <row r="1676" ht="12.75">
      <c r="O1676" s="3"/>
    </row>
    <row r="1677" ht="12.75">
      <c r="O1677" s="3"/>
    </row>
    <row r="1678" ht="12.75">
      <c r="O1678" s="3"/>
    </row>
    <row r="1679" ht="12.75">
      <c r="O1679" s="3"/>
    </row>
    <row r="1680" ht="12.75">
      <c r="O1680" s="3"/>
    </row>
    <row r="1681" ht="12.75">
      <c r="O1681" s="3"/>
    </row>
    <row r="1682" ht="12.75">
      <c r="O1682" s="3"/>
    </row>
    <row r="1683" ht="12.75">
      <c r="O1683" s="3"/>
    </row>
    <row r="1684" ht="12.75">
      <c r="O1684" s="3"/>
    </row>
    <row r="1685" ht="12.75">
      <c r="O1685" s="3"/>
    </row>
    <row r="1686" ht="12.75">
      <c r="O1686" s="3"/>
    </row>
    <row r="1687" ht="12.75">
      <c r="O1687" s="3"/>
    </row>
    <row r="1688" ht="12.75">
      <c r="O1688" s="3"/>
    </row>
    <row r="1689" ht="12.75">
      <c r="O1689" s="3"/>
    </row>
    <row r="1690" ht="12.75">
      <c r="O1690" s="3"/>
    </row>
    <row r="1691" ht="12.75">
      <c r="O1691" s="3"/>
    </row>
    <row r="1692" ht="12.75">
      <c r="O1692" s="3"/>
    </row>
    <row r="1693" ht="12.75">
      <c r="O1693" s="3"/>
    </row>
    <row r="1694" ht="12.75">
      <c r="O1694" s="3"/>
    </row>
    <row r="1695" ht="12.75">
      <c r="O1695" s="3"/>
    </row>
    <row r="1696" ht="12.75">
      <c r="O1696" s="3"/>
    </row>
    <row r="1697" ht="12.75">
      <c r="O1697" s="3"/>
    </row>
    <row r="1698" ht="12.75">
      <c r="O1698" s="3"/>
    </row>
    <row r="1699" ht="12.75">
      <c r="O1699" s="3"/>
    </row>
    <row r="1700" ht="12.75">
      <c r="O1700" s="3"/>
    </row>
    <row r="1701" ht="12.75">
      <c r="O1701" s="3"/>
    </row>
    <row r="1702" ht="12.75">
      <c r="O1702" s="3"/>
    </row>
    <row r="1703" ht="12.75">
      <c r="O1703" s="3"/>
    </row>
    <row r="1704" ht="12.75">
      <c r="O1704" s="3"/>
    </row>
    <row r="1705" ht="12.75">
      <c r="O1705" s="3"/>
    </row>
    <row r="1706" ht="12.75">
      <c r="O1706" s="3"/>
    </row>
    <row r="1707" ht="12.75">
      <c r="O1707" s="3"/>
    </row>
    <row r="1708" ht="12.75">
      <c r="O1708" s="3"/>
    </row>
    <row r="1709" ht="12.75">
      <c r="O1709" s="3"/>
    </row>
    <row r="1710" ht="12.75">
      <c r="O1710" s="3"/>
    </row>
    <row r="1711" ht="12.75">
      <c r="O1711" s="3"/>
    </row>
    <row r="1712" ht="12.75">
      <c r="O1712" s="3"/>
    </row>
    <row r="1713" ht="12.75">
      <c r="O1713" s="3"/>
    </row>
    <row r="1714" ht="12.75">
      <c r="O1714" s="3"/>
    </row>
    <row r="1715" ht="12.75">
      <c r="O1715" s="3"/>
    </row>
    <row r="1716" ht="12.75">
      <c r="O1716" s="3"/>
    </row>
    <row r="1717" ht="12.75">
      <c r="O1717" s="3"/>
    </row>
    <row r="1718" ht="12.75">
      <c r="O1718" s="3"/>
    </row>
    <row r="1719" ht="12.75">
      <c r="O1719" s="3"/>
    </row>
    <row r="1720" ht="12.75">
      <c r="O1720" s="3"/>
    </row>
    <row r="1721" ht="12.75">
      <c r="O1721" s="3"/>
    </row>
    <row r="1722" ht="12.75">
      <c r="O1722" s="3"/>
    </row>
    <row r="1723" ht="12.75">
      <c r="O1723" s="3"/>
    </row>
    <row r="1724" ht="12.75">
      <c r="O1724" s="3"/>
    </row>
    <row r="1725" ht="12.75">
      <c r="O1725" s="3"/>
    </row>
    <row r="1726" ht="12.75">
      <c r="O1726" s="3"/>
    </row>
    <row r="1727" ht="12.75">
      <c r="O1727" s="3"/>
    </row>
    <row r="1728" ht="12.75">
      <c r="O1728" s="3"/>
    </row>
    <row r="1729" ht="12.75">
      <c r="O1729" s="3"/>
    </row>
    <row r="1730" ht="12.75">
      <c r="O1730" s="3"/>
    </row>
    <row r="1731" ht="12.75">
      <c r="O1731" s="3"/>
    </row>
    <row r="1732" ht="12.75">
      <c r="O1732" s="3"/>
    </row>
    <row r="1733" ht="12.75">
      <c r="O1733" s="3"/>
    </row>
    <row r="1734" ht="12.75">
      <c r="O1734" s="3"/>
    </row>
    <row r="1735" ht="12.75">
      <c r="O1735" s="3"/>
    </row>
    <row r="1736" ht="12.75">
      <c r="O1736" s="3"/>
    </row>
    <row r="1737" ht="12.75">
      <c r="O1737" s="3"/>
    </row>
    <row r="1738" ht="12.75">
      <c r="O1738" s="3"/>
    </row>
    <row r="1739" ht="12.75">
      <c r="O1739" s="3"/>
    </row>
    <row r="1740" ht="12.75">
      <c r="O1740" s="3"/>
    </row>
    <row r="1741" ht="12.75">
      <c r="O1741" s="3"/>
    </row>
    <row r="1742" ht="12.75">
      <c r="O1742" s="3"/>
    </row>
    <row r="1743" ht="12.75">
      <c r="O1743" s="3"/>
    </row>
    <row r="1744" ht="12.75">
      <c r="O1744" s="3"/>
    </row>
    <row r="1745" ht="12.75">
      <c r="O1745" s="3"/>
    </row>
    <row r="1746" ht="12.75">
      <c r="O1746" s="3"/>
    </row>
    <row r="1747" ht="12.75">
      <c r="O1747" s="3"/>
    </row>
    <row r="1748" ht="12.75">
      <c r="O1748" s="3"/>
    </row>
    <row r="1749" ht="12.75">
      <c r="O1749" s="3"/>
    </row>
    <row r="1750" ht="12.75">
      <c r="O1750" s="3"/>
    </row>
    <row r="1751" ht="12.75">
      <c r="O1751" s="3"/>
    </row>
    <row r="1752" ht="12.75">
      <c r="O1752" s="3"/>
    </row>
    <row r="1753" ht="12.75">
      <c r="O1753" s="3"/>
    </row>
    <row r="1754" ht="12.75">
      <c r="O1754" s="3"/>
    </row>
    <row r="1755" ht="12.75">
      <c r="O1755" s="3"/>
    </row>
    <row r="1756" ht="12.75">
      <c r="O1756" s="3"/>
    </row>
    <row r="1757" ht="12.75">
      <c r="O1757" s="3"/>
    </row>
    <row r="1758" ht="12.75">
      <c r="O1758" s="3"/>
    </row>
    <row r="1759" ht="12.75">
      <c r="O1759" s="3"/>
    </row>
    <row r="1760" ht="12.75">
      <c r="O1760" s="3"/>
    </row>
    <row r="1761" ht="12.75">
      <c r="O1761" s="3"/>
    </row>
    <row r="1762" ht="12.75">
      <c r="O1762" s="3"/>
    </row>
    <row r="1763" ht="12.75">
      <c r="O1763" s="3"/>
    </row>
    <row r="1764" ht="12.75">
      <c r="O1764" s="3"/>
    </row>
    <row r="1765" ht="12.75">
      <c r="O1765" s="3"/>
    </row>
    <row r="1766" ht="12.75">
      <c r="O1766" s="3"/>
    </row>
    <row r="1767" ht="12.75">
      <c r="O1767" s="3"/>
    </row>
    <row r="1768" ht="12.75">
      <c r="O1768" s="3"/>
    </row>
    <row r="1769" ht="12.75">
      <c r="O1769" s="3"/>
    </row>
    <row r="1770" ht="12.75">
      <c r="O1770" s="3"/>
    </row>
    <row r="1771" ht="12.75">
      <c r="O1771" s="3"/>
    </row>
    <row r="1772" ht="12.75">
      <c r="O1772" s="3"/>
    </row>
    <row r="1773" ht="12.75">
      <c r="O1773" s="3"/>
    </row>
    <row r="1774" ht="12.75">
      <c r="O1774" s="3"/>
    </row>
    <row r="1775" ht="12.75">
      <c r="O1775" s="3"/>
    </row>
    <row r="1776" ht="12.75">
      <c r="O1776" s="3"/>
    </row>
    <row r="1777" ht="12.75">
      <c r="O1777" s="3"/>
    </row>
    <row r="1778" ht="12.75">
      <c r="O1778" s="3"/>
    </row>
    <row r="1779" ht="12.75">
      <c r="O1779" s="3"/>
    </row>
    <row r="1780" ht="12.75">
      <c r="O1780" s="3"/>
    </row>
    <row r="1781" ht="12.75">
      <c r="O1781" s="3"/>
    </row>
    <row r="1782" ht="12.75">
      <c r="O1782" s="3"/>
    </row>
    <row r="1783" ht="12.75">
      <c r="O1783" s="3"/>
    </row>
    <row r="1784" ht="12.75">
      <c r="O1784" s="3"/>
    </row>
    <row r="1785" ht="12.75">
      <c r="O1785" s="3"/>
    </row>
    <row r="1786" ht="12.75">
      <c r="O1786" s="3"/>
    </row>
    <row r="1787" ht="12.75">
      <c r="O1787" s="3"/>
    </row>
    <row r="1788" ht="12.75">
      <c r="O1788" s="3"/>
    </row>
    <row r="1789" ht="12.75">
      <c r="O1789" s="3"/>
    </row>
    <row r="1790" ht="12.75">
      <c r="O1790" s="3"/>
    </row>
    <row r="1791" ht="12.75">
      <c r="O1791" s="3"/>
    </row>
    <row r="1792" ht="12.75">
      <c r="O1792" s="3"/>
    </row>
    <row r="1793" ht="12.75">
      <c r="O1793" s="3"/>
    </row>
    <row r="1794" ht="12.75">
      <c r="O1794" s="3"/>
    </row>
    <row r="1795" ht="12.75">
      <c r="O1795" s="3"/>
    </row>
    <row r="1796" ht="12.75">
      <c r="O1796" s="3"/>
    </row>
    <row r="1797" ht="12.75">
      <c r="O1797" s="3"/>
    </row>
    <row r="1798" ht="12.75">
      <c r="O1798" s="3"/>
    </row>
    <row r="1799" ht="12.75">
      <c r="O1799" s="3"/>
    </row>
    <row r="1800" ht="12.75">
      <c r="O1800" s="3"/>
    </row>
    <row r="1801" ht="12.75">
      <c r="O1801" s="3"/>
    </row>
    <row r="1802" ht="12.75">
      <c r="O1802" s="3"/>
    </row>
    <row r="1803" ht="12.75">
      <c r="O1803" s="3"/>
    </row>
    <row r="1804" ht="12.75">
      <c r="O1804" s="3"/>
    </row>
    <row r="1805" ht="12.75">
      <c r="O1805" s="3"/>
    </row>
    <row r="1806" ht="12.75">
      <c r="O1806" s="3"/>
    </row>
    <row r="1807" ht="12.75">
      <c r="O1807" s="3"/>
    </row>
    <row r="1808" ht="12.75">
      <c r="O1808" s="3"/>
    </row>
    <row r="1809" ht="12.75">
      <c r="O1809" s="3"/>
    </row>
    <row r="1810" ht="12.75">
      <c r="O1810" s="3"/>
    </row>
    <row r="1811" ht="12.75">
      <c r="O1811" s="3"/>
    </row>
    <row r="1812" ht="12.75">
      <c r="O1812" s="3"/>
    </row>
    <row r="1813" ht="12.75">
      <c r="O1813" s="3"/>
    </row>
    <row r="1814" ht="12.75">
      <c r="O1814" s="3"/>
    </row>
    <row r="1815" ht="12.75">
      <c r="O1815" s="3"/>
    </row>
    <row r="1816" ht="12.75">
      <c r="O1816" s="3"/>
    </row>
    <row r="1817" ht="12.75">
      <c r="O1817" s="3"/>
    </row>
    <row r="1818" ht="12.75">
      <c r="O1818" s="3"/>
    </row>
    <row r="1819" ht="12.75">
      <c r="O1819" s="3"/>
    </row>
    <row r="1820" ht="12.75">
      <c r="O1820" s="3"/>
    </row>
    <row r="1821" ht="12.75">
      <c r="O1821" s="3"/>
    </row>
    <row r="1822" ht="12.75">
      <c r="O1822" s="3"/>
    </row>
    <row r="1823" ht="12.75">
      <c r="O1823" s="3"/>
    </row>
    <row r="1824" ht="12.75">
      <c r="O1824" s="3"/>
    </row>
    <row r="1825" ht="12.75">
      <c r="O1825" s="3"/>
    </row>
    <row r="1826" ht="12.75">
      <c r="O1826" s="3"/>
    </row>
    <row r="1827" ht="12.75">
      <c r="O1827" s="3"/>
    </row>
    <row r="1828" ht="12.75">
      <c r="O1828" s="3"/>
    </row>
    <row r="1829" ht="12.75">
      <c r="O1829" s="3"/>
    </row>
    <row r="1830" ht="12.75">
      <c r="O1830" s="3"/>
    </row>
    <row r="1831" ht="12.75">
      <c r="O1831" s="3"/>
    </row>
    <row r="1832" ht="12.75">
      <c r="O1832" s="3"/>
    </row>
    <row r="1833" ht="12.75">
      <c r="O1833" s="3"/>
    </row>
    <row r="1834" ht="12.75">
      <c r="O1834" s="3"/>
    </row>
    <row r="1835" ht="12.75">
      <c r="O1835" s="3"/>
    </row>
    <row r="1836" ht="12.75">
      <c r="O1836" s="3"/>
    </row>
    <row r="1837" ht="12.75">
      <c r="O1837" s="3"/>
    </row>
    <row r="1838" ht="12.75">
      <c r="O1838" s="3"/>
    </row>
    <row r="1839" ht="12.75">
      <c r="O1839" s="3"/>
    </row>
    <row r="1840" ht="12.75">
      <c r="O1840" s="3"/>
    </row>
    <row r="1841" ht="12.75">
      <c r="O1841" s="3"/>
    </row>
    <row r="1842" ht="12.75">
      <c r="O1842" s="3"/>
    </row>
    <row r="1843" ht="12.75">
      <c r="O1843" s="3"/>
    </row>
    <row r="1844" ht="12.75">
      <c r="O1844" s="3"/>
    </row>
    <row r="1845" ht="12.75">
      <c r="O1845" s="3"/>
    </row>
    <row r="1846" ht="12.75">
      <c r="O1846" s="3"/>
    </row>
    <row r="1847" ht="12.75">
      <c r="O1847" s="3"/>
    </row>
    <row r="1848" ht="12.75">
      <c r="O1848" s="3"/>
    </row>
    <row r="1849" ht="12.75">
      <c r="O1849" s="3"/>
    </row>
    <row r="1850" ht="12.75">
      <c r="O1850" s="3"/>
    </row>
    <row r="1851" ht="12.75">
      <c r="O1851" s="3"/>
    </row>
    <row r="1852" ht="12.75">
      <c r="O1852" s="3"/>
    </row>
    <row r="1853" ht="12.75">
      <c r="O1853" s="3"/>
    </row>
    <row r="1854" ht="12.75">
      <c r="O1854" s="3"/>
    </row>
    <row r="1855" ht="12.75">
      <c r="O1855" s="3"/>
    </row>
    <row r="1856" ht="12.75">
      <c r="O1856" s="3"/>
    </row>
    <row r="1857" ht="12.75">
      <c r="O1857" s="3"/>
    </row>
    <row r="1858" ht="12.75">
      <c r="O1858" s="3"/>
    </row>
    <row r="1859" ht="12.75">
      <c r="O1859" s="3"/>
    </row>
    <row r="1860" ht="12.75">
      <c r="O1860" s="3"/>
    </row>
    <row r="1861" ht="12.75">
      <c r="O1861" s="3"/>
    </row>
    <row r="1862" ht="12.75">
      <c r="O1862" s="3"/>
    </row>
    <row r="1863" ht="12.75">
      <c r="O1863" s="3"/>
    </row>
    <row r="1864" ht="12.75">
      <c r="O1864" s="3"/>
    </row>
    <row r="1865" ht="12.75">
      <c r="O1865" s="3"/>
    </row>
    <row r="1866" ht="12.75">
      <c r="O1866" s="3"/>
    </row>
    <row r="1867" ht="12.75">
      <c r="O1867" s="3"/>
    </row>
    <row r="1868" ht="12.75">
      <c r="O1868" s="3"/>
    </row>
    <row r="1869" ht="12.75">
      <c r="O1869" s="3"/>
    </row>
    <row r="1870" ht="12.75">
      <c r="O1870" s="3"/>
    </row>
    <row r="1871" ht="12.75">
      <c r="O1871" s="3"/>
    </row>
    <row r="1872" ht="12.75">
      <c r="O1872" s="3"/>
    </row>
    <row r="1873" ht="12.75">
      <c r="O1873" s="3"/>
    </row>
    <row r="1874" ht="12.75">
      <c r="O1874" s="3"/>
    </row>
    <row r="1875" ht="12.75">
      <c r="O1875" s="3"/>
    </row>
    <row r="1876" ht="12.75">
      <c r="O1876" s="3"/>
    </row>
    <row r="1877" ht="12.75">
      <c r="O1877" s="3"/>
    </row>
    <row r="1878" ht="12.75">
      <c r="O1878" s="3"/>
    </row>
    <row r="1879" ht="12.75">
      <c r="O1879" s="3"/>
    </row>
    <row r="1880" ht="12.75">
      <c r="O1880" s="3"/>
    </row>
    <row r="1881" ht="12.75">
      <c r="O1881" s="3"/>
    </row>
    <row r="1882" ht="12.75">
      <c r="O1882" s="3"/>
    </row>
    <row r="1883" ht="12.75">
      <c r="O1883" s="3"/>
    </row>
    <row r="1884" ht="12.75">
      <c r="O1884" s="3"/>
    </row>
    <row r="1885" ht="12.75">
      <c r="O1885" s="3"/>
    </row>
    <row r="1886" ht="12.75">
      <c r="O1886" s="3"/>
    </row>
    <row r="1887" ht="12.75">
      <c r="O1887" s="3"/>
    </row>
    <row r="1888" ht="12.75">
      <c r="O1888" s="3"/>
    </row>
    <row r="1889" ht="12.75">
      <c r="O1889" s="3"/>
    </row>
    <row r="1890" ht="12.75">
      <c r="O1890" s="3"/>
    </row>
    <row r="1891" ht="12.75">
      <c r="O1891" s="3"/>
    </row>
    <row r="1892" ht="12.75">
      <c r="O1892" s="3"/>
    </row>
    <row r="1893" ht="12.75">
      <c r="O1893" s="3"/>
    </row>
    <row r="1894" ht="12.75">
      <c r="O1894" s="3"/>
    </row>
    <row r="1895" ht="12.75">
      <c r="O1895" s="3"/>
    </row>
    <row r="1896" ht="12.75">
      <c r="O1896" s="3"/>
    </row>
    <row r="1897" ht="12.75">
      <c r="O1897" s="3"/>
    </row>
    <row r="1898" ht="12.75">
      <c r="O1898" s="3"/>
    </row>
    <row r="1899" ht="12.75">
      <c r="O1899" s="3"/>
    </row>
    <row r="1900" ht="12.75">
      <c r="O1900" s="3"/>
    </row>
    <row r="1901" ht="12.75">
      <c r="O1901" s="3"/>
    </row>
    <row r="1902" ht="12.75">
      <c r="O1902" s="3"/>
    </row>
    <row r="1903" ht="12.75">
      <c r="O1903" s="3"/>
    </row>
    <row r="1904" ht="12.75">
      <c r="O1904" s="3"/>
    </row>
    <row r="1905" ht="12.75">
      <c r="O1905" s="3"/>
    </row>
    <row r="1906" ht="12.75">
      <c r="O1906" s="3"/>
    </row>
    <row r="1907" ht="12.75">
      <c r="O1907" s="3"/>
    </row>
    <row r="1908" ht="12.75">
      <c r="O1908" s="3"/>
    </row>
    <row r="1909" ht="12.75">
      <c r="O1909" s="3"/>
    </row>
    <row r="1910" ht="12.75">
      <c r="O1910" s="3"/>
    </row>
    <row r="1911" ht="12.75">
      <c r="O1911" s="3"/>
    </row>
    <row r="1912" ht="12.75">
      <c r="O1912" s="3"/>
    </row>
    <row r="1913" ht="12.75">
      <c r="O1913" s="3"/>
    </row>
    <row r="1914" ht="12.75">
      <c r="O1914" s="3"/>
    </row>
    <row r="1915" ht="12.75">
      <c r="O1915" s="3"/>
    </row>
    <row r="1916" ht="12.75">
      <c r="O1916" s="3"/>
    </row>
    <row r="1917" ht="12.75">
      <c r="O1917" s="3"/>
    </row>
    <row r="1918" ht="12.75">
      <c r="O1918" s="3"/>
    </row>
    <row r="1919" ht="12.75">
      <c r="O1919" s="3"/>
    </row>
    <row r="1920" ht="12.75">
      <c r="O1920" s="3"/>
    </row>
    <row r="1921" ht="12.75">
      <c r="O1921" s="3"/>
    </row>
    <row r="1922" ht="12.75">
      <c r="O1922" s="3"/>
    </row>
    <row r="1923" ht="12.75">
      <c r="O1923" s="3"/>
    </row>
    <row r="1924" ht="12.75">
      <c r="O1924" s="3"/>
    </row>
    <row r="1925" ht="12.75">
      <c r="O1925" s="3"/>
    </row>
    <row r="1926" ht="12.75">
      <c r="O1926" s="3"/>
    </row>
    <row r="1927" ht="12.75">
      <c r="O1927" s="3"/>
    </row>
    <row r="1928" ht="12.75">
      <c r="O1928" s="3"/>
    </row>
    <row r="1929" ht="12.75">
      <c r="O1929" s="3"/>
    </row>
    <row r="1930" ht="12.75">
      <c r="O1930" s="3"/>
    </row>
    <row r="1931" ht="12.75">
      <c r="O1931" s="3"/>
    </row>
    <row r="1932" ht="12.75">
      <c r="O1932" s="3"/>
    </row>
    <row r="1933" ht="12.75">
      <c r="O1933" s="3"/>
    </row>
    <row r="1934" ht="12.75">
      <c r="O1934" s="3"/>
    </row>
    <row r="1935" ht="12.75">
      <c r="O1935" s="3"/>
    </row>
    <row r="1936" ht="12.75">
      <c r="O1936" s="3"/>
    </row>
    <row r="1937" ht="12.75">
      <c r="O1937" s="3"/>
    </row>
    <row r="1938" ht="12.75">
      <c r="O1938" s="3"/>
    </row>
    <row r="1939" ht="12.75">
      <c r="O1939" s="3"/>
    </row>
    <row r="1940" ht="12.75">
      <c r="O1940" s="3"/>
    </row>
    <row r="1941" ht="12.75">
      <c r="O1941" s="3"/>
    </row>
    <row r="1942" ht="12.75">
      <c r="O1942" s="3"/>
    </row>
    <row r="1943" ht="12.75">
      <c r="O1943" s="3"/>
    </row>
    <row r="1944" ht="12.75">
      <c r="O1944" s="3"/>
    </row>
    <row r="1945" ht="12.75">
      <c r="O1945" s="3"/>
    </row>
    <row r="1946" ht="12.75">
      <c r="O1946" s="3"/>
    </row>
    <row r="1947" ht="12.75">
      <c r="O1947" s="3"/>
    </row>
    <row r="1948" ht="12.75">
      <c r="O1948" s="3"/>
    </row>
    <row r="1949" ht="12.75">
      <c r="O1949" s="3"/>
    </row>
    <row r="1950" ht="12.75">
      <c r="O1950" s="3"/>
    </row>
    <row r="1951" ht="12.75">
      <c r="O1951" s="3"/>
    </row>
    <row r="1952" ht="12.75">
      <c r="O1952" s="3"/>
    </row>
    <row r="1953" ht="12.75">
      <c r="O1953" s="3"/>
    </row>
    <row r="1954" ht="12.75">
      <c r="O1954" s="3"/>
    </row>
    <row r="1955" ht="12.75">
      <c r="O1955" s="3"/>
    </row>
    <row r="1956" ht="12.75">
      <c r="O1956" s="3"/>
    </row>
    <row r="1957" ht="12.75">
      <c r="O1957" s="3"/>
    </row>
    <row r="1958" ht="12.75">
      <c r="O1958" s="3"/>
    </row>
    <row r="1959" ht="12.75">
      <c r="O1959" s="3"/>
    </row>
    <row r="1960" ht="12.75">
      <c r="O1960" s="3"/>
    </row>
    <row r="1961" ht="12.75">
      <c r="O1961" s="3"/>
    </row>
    <row r="1962" ht="12.75">
      <c r="O1962" s="3"/>
    </row>
    <row r="1963" ht="12.75">
      <c r="O1963" s="3"/>
    </row>
    <row r="1964" ht="12.75">
      <c r="O1964" s="3"/>
    </row>
    <row r="1965" ht="12.75">
      <c r="O1965" s="3"/>
    </row>
    <row r="1966" ht="12.75">
      <c r="O1966" s="3"/>
    </row>
    <row r="1967" ht="12.75">
      <c r="O1967" s="3"/>
    </row>
    <row r="1968" ht="12.75">
      <c r="O1968" s="3"/>
    </row>
    <row r="1969" ht="12.75">
      <c r="O1969" s="3"/>
    </row>
    <row r="1970" ht="12.75">
      <c r="O1970" s="3"/>
    </row>
    <row r="1971" ht="12.75">
      <c r="O1971" s="3"/>
    </row>
    <row r="1972" ht="12.75">
      <c r="O1972" s="3"/>
    </row>
    <row r="1973" ht="12.75">
      <c r="O1973" s="3"/>
    </row>
    <row r="1974" ht="12.75">
      <c r="O1974" s="3"/>
    </row>
    <row r="1975" ht="12.75">
      <c r="O1975" s="3"/>
    </row>
    <row r="1976" ht="12.75">
      <c r="O1976" s="3"/>
    </row>
    <row r="1977" ht="12.75">
      <c r="O1977" s="3"/>
    </row>
    <row r="1978" ht="12.75">
      <c r="O1978" s="3"/>
    </row>
    <row r="1979" ht="12.75">
      <c r="O1979" s="3"/>
    </row>
    <row r="1980" ht="12.75">
      <c r="O1980" s="3"/>
    </row>
    <row r="1981" ht="12.75">
      <c r="O1981" s="3"/>
    </row>
    <row r="1982" ht="12.75">
      <c r="O1982" s="3"/>
    </row>
    <row r="1983" ht="12.75">
      <c r="O1983" s="3"/>
    </row>
    <row r="1984" ht="12.75">
      <c r="O1984" s="3"/>
    </row>
    <row r="1985" ht="12.75">
      <c r="O1985" s="3"/>
    </row>
    <row r="1986" ht="12.75">
      <c r="O1986" s="3"/>
    </row>
    <row r="1987" ht="12.75">
      <c r="O1987" s="3"/>
    </row>
    <row r="1988" ht="12.75">
      <c r="O1988" s="3"/>
    </row>
    <row r="1989" ht="12.75">
      <c r="O1989" s="3"/>
    </row>
    <row r="1990" ht="12.75">
      <c r="O1990" s="3"/>
    </row>
    <row r="1991" ht="12.75">
      <c r="O1991" s="3"/>
    </row>
    <row r="1992" ht="12.75">
      <c r="O1992" s="3"/>
    </row>
    <row r="1993" ht="12.75">
      <c r="O1993" s="3"/>
    </row>
    <row r="1994" ht="12.75">
      <c r="O1994" s="3"/>
    </row>
    <row r="1995" ht="12.75">
      <c r="O1995" s="3"/>
    </row>
    <row r="1996" ht="12.75">
      <c r="O1996" s="3"/>
    </row>
    <row r="1997" ht="12.75">
      <c r="O1997" s="3"/>
    </row>
    <row r="1998" ht="12.75">
      <c r="O1998" s="3"/>
    </row>
    <row r="1999" ht="12.75">
      <c r="O1999" s="3"/>
    </row>
    <row r="2000" ht="12.75">
      <c r="O2000" s="3"/>
    </row>
    <row r="2001" ht="12.75">
      <c r="O2001" s="3"/>
    </row>
    <row r="2002" ht="12.75">
      <c r="O2002" s="3"/>
    </row>
    <row r="2003" ht="12.75">
      <c r="O2003" s="3"/>
    </row>
    <row r="2004" ht="12.75">
      <c r="O2004" s="3"/>
    </row>
    <row r="2005" ht="12.75">
      <c r="O2005" s="3"/>
    </row>
    <row r="2006" ht="12.75">
      <c r="O2006" s="3"/>
    </row>
    <row r="2007" ht="12.75">
      <c r="O2007" s="3"/>
    </row>
    <row r="2008" ht="12.75">
      <c r="O2008" s="3"/>
    </row>
    <row r="2009" ht="12.75">
      <c r="O2009" s="3"/>
    </row>
    <row r="2010" ht="12.75">
      <c r="O2010" s="3"/>
    </row>
    <row r="2011" ht="12.75">
      <c r="O2011" s="3"/>
    </row>
    <row r="2012" ht="12.75">
      <c r="O2012" s="3"/>
    </row>
    <row r="2013" ht="12.75">
      <c r="O2013" s="3"/>
    </row>
    <row r="2014" ht="12.75">
      <c r="O2014" s="3"/>
    </row>
    <row r="2015" ht="12.75">
      <c r="O2015" s="3"/>
    </row>
    <row r="2016" ht="12.75">
      <c r="O2016" s="3"/>
    </row>
    <row r="2017" ht="12.75">
      <c r="O2017" s="3"/>
    </row>
    <row r="2018" ht="12.75">
      <c r="O2018" s="3"/>
    </row>
    <row r="2019" ht="12.75">
      <c r="O2019" s="3"/>
    </row>
    <row r="2020" ht="12.75">
      <c r="O2020" s="3"/>
    </row>
    <row r="2021" ht="12.75">
      <c r="O2021" s="3"/>
    </row>
    <row r="2022" ht="12.75">
      <c r="O2022" s="3"/>
    </row>
    <row r="2023" ht="12.75">
      <c r="O2023" s="3"/>
    </row>
    <row r="2024" ht="12.75">
      <c r="O2024" s="3"/>
    </row>
    <row r="2025" ht="12.75">
      <c r="O2025" s="3"/>
    </row>
    <row r="2026" ht="12.75">
      <c r="O2026" s="3"/>
    </row>
    <row r="2027" ht="12.75">
      <c r="O2027" s="3"/>
    </row>
    <row r="2028" ht="12.75">
      <c r="O2028" s="3"/>
    </row>
    <row r="2029" ht="12.75">
      <c r="O2029" s="3"/>
    </row>
    <row r="2030" ht="12.75">
      <c r="O2030" s="3"/>
    </row>
    <row r="2031" ht="12.75">
      <c r="O2031" s="3"/>
    </row>
    <row r="2032" ht="12.75">
      <c r="O2032" s="3"/>
    </row>
    <row r="2033" ht="12.75">
      <c r="O2033" s="3"/>
    </row>
    <row r="2034" ht="12.75">
      <c r="O2034" s="3"/>
    </row>
    <row r="2035" ht="12.75">
      <c r="O2035" s="3"/>
    </row>
    <row r="2036" ht="12.75">
      <c r="O2036" s="3"/>
    </row>
    <row r="2037" ht="12.75">
      <c r="O2037" s="3"/>
    </row>
    <row r="2038" ht="12.75">
      <c r="O2038" s="3"/>
    </row>
    <row r="2039" ht="12.75">
      <c r="O2039" s="3"/>
    </row>
    <row r="2040" ht="12.75">
      <c r="O2040" s="3"/>
    </row>
    <row r="2041" ht="12.75">
      <c r="O2041" s="3"/>
    </row>
    <row r="2042" ht="12.75">
      <c r="O2042" s="3"/>
    </row>
    <row r="2043" ht="12.75">
      <c r="O2043" s="3"/>
    </row>
    <row r="2044" ht="12.75">
      <c r="O2044" s="3"/>
    </row>
    <row r="2045" ht="12.75">
      <c r="O2045" s="3"/>
    </row>
    <row r="2046" ht="12.75">
      <c r="O2046" s="3"/>
    </row>
    <row r="2047" ht="12.75">
      <c r="O2047" s="3"/>
    </row>
    <row r="2048" ht="12.75">
      <c r="O2048" s="3"/>
    </row>
    <row r="2049" ht="12.75">
      <c r="O2049" s="3"/>
    </row>
    <row r="2050" ht="12.75">
      <c r="O2050" s="3"/>
    </row>
    <row r="2051" ht="12.75">
      <c r="O2051" s="3"/>
    </row>
    <row r="2052" ht="12.75">
      <c r="O2052" s="3"/>
    </row>
    <row r="2053" ht="12.75">
      <c r="O2053" s="3"/>
    </row>
    <row r="2054" ht="12.75">
      <c r="O2054" s="3"/>
    </row>
    <row r="2055" ht="12.75">
      <c r="O2055" s="3"/>
    </row>
    <row r="2056" ht="12.75">
      <c r="O2056" s="3"/>
    </row>
    <row r="2057" ht="12.75">
      <c r="O2057" s="3"/>
    </row>
    <row r="2058" ht="12.75">
      <c r="O2058" s="3"/>
    </row>
    <row r="2059" ht="12.75">
      <c r="O2059" s="3"/>
    </row>
    <row r="2060" ht="12.75">
      <c r="O2060" s="3"/>
    </row>
    <row r="2061" ht="12.75">
      <c r="O2061" s="3"/>
    </row>
    <row r="2062" ht="12.75">
      <c r="O2062" s="3"/>
    </row>
    <row r="2063" ht="12.75">
      <c r="O2063" s="3"/>
    </row>
    <row r="2064" ht="12.75">
      <c r="O2064" s="3"/>
    </row>
    <row r="2065" ht="12.75">
      <c r="O2065" s="3"/>
    </row>
    <row r="2066" ht="12.75">
      <c r="O2066" s="3"/>
    </row>
    <row r="2067" ht="12.75">
      <c r="O2067" s="3"/>
    </row>
    <row r="2068" ht="12.75">
      <c r="O2068" s="3"/>
    </row>
    <row r="2069" ht="12.75">
      <c r="O2069" s="3"/>
    </row>
    <row r="2070" ht="12.75">
      <c r="O2070" s="3"/>
    </row>
    <row r="2071" ht="12.75">
      <c r="O2071" s="3"/>
    </row>
    <row r="2072" ht="12.75">
      <c r="O2072" s="3"/>
    </row>
    <row r="2073" ht="12.75">
      <c r="O2073" s="3"/>
    </row>
    <row r="2074" ht="12.75">
      <c r="O2074" s="3"/>
    </row>
    <row r="2075" ht="12.75">
      <c r="O2075" s="3"/>
    </row>
    <row r="2076" ht="12.75">
      <c r="O2076" s="3"/>
    </row>
    <row r="2077" ht="12.75">
      <c r="O2077" s="3"/>
    </row>
    <row r="2078" ht="12.75">
      <c r="O2078" s="3"/>
    </row>
    <row r="2079" ht="12.75">
      <c r="O2079" s="3"/>
    </row>
    <row r="2080" ht="12.75">
      <c r="O2080" s="3"/>
    </row>
    <row r="2081" ht="12.75">
      <c r="O2081" s="3"/>
    </row>
    <row r="2082" ht="12.75">
      <c r="O2082" s="3"/>
    </row>
    <row r="2083" ht="12.75">
      <c r="O2083" s="3"/>
    </row>
    <row r="2084" ht="12.75">
      <c r="O2084" s="3"/>
    </row>
    <row r="2085" ht="12.75">
      <c r="O2085" s="3"/>
    </row>
    <row r="2086" ht="12.75">
      <c r="O2086" s="3"/>
    </row>
    <row r="2087" ht="12.75">
      <c r="O2087" s="3"/>
    </row>
    <row r="2088" ht="12.75">
      <c r="O2088" s="3"/>
    </row>
    <row r="2089" ht="12.75">
      <c r="O2089" s="3"/>
    </row>
    <row r="2090" ht="12.75">
      <c r="O2090" s="3"/>
    </row>
    <row r="2091" ht="12.75">
      <c r="O2091" s="3"/>
    </row>
    <row r="2092" ht="12.75">
      <c r="O2092" s="3"/>
    </row>
    <row r="2093" ht="12.75">
      <c r="O2093" s="3"/>
    </row>
    <row r="2094" ht="12.75">
      <c r="O2094" s="3"/>
    </row>
    <row r="2095" ht="12.75">
      <c r="O2095" s="3"/>
    </row>
    <row r="2096" ht="12.75">
      <c r="O2096" s="3"/>
    </row>
    <row r="2097" ht="12.75">
      <c r="O2097" s="3"/>
    </row>
    <row r="2098" ht="12.75">
      <c r="O2098" s="3"/>
    </row>
    <row r="2099" ht="12.75">
      <c r="O2099" s="3"/>
    </row>
    <row r="2100" ht="12.75">
      <c r="O2100" s="3"/>
    </row>
    <row r="2101" ht="12.75">
      <c r="O2101" s="3"/>
    </row>
    <row r="2102" ht="12.75">
      <c r="O2102" s="3"/>
    </row>
    <row r="2103" ht="12.75">
      <c r="O2103" s="3"/>
    </row>
    <row r="2104" ht="12.75">
      <c r="O2104" s="3"/>
    </row>
    <row r="2105" ht="12.75">
      <c r="O2105" s="3"/>
    </row>
    <row r="2106" ht="12.75">
      <c r="O2106" s="3"/>
    </row>
    <row r="2107" ht="12.75">
      <c r="O2107" s="3"/>
    </row>
    <row r="2108" ht="12.75">
      <c r="O2108" s="3"/>
    </row>
    <row r="2109" ht="12.75">
      <c r="O2109" s="3"/>
    </row>
    <row r="2110" ht="12.75">
      <c r="O2110" s="3"/>
    </row>
    <row r="2111" ht="12.75">
      <c r="O2111" s="3"/>
    </row>
    <row r="2112" ht="12.75">
      <c r="O2112" s="3"/>
    </row>
    <row r="2113" ht="12.75">
      <c r="O2113" s="3"/>
    </row>
    <row r="2114" ht="12.75">
      <c r="O2114" s="3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O2139" s="3"/>
    </row>
    <row r="2140" ht="12.75">
      <c r="O2140" s="3"/>
    </row>
    <row r="2141" ht="12.75">
      <c r="O2141" s="3"/>
    </row>
    <row r="2142" ht="12.75">
      <c r="O2142" s="3"/>
    </row>
    <row r="2143" ht="12.75">
      <c r="O2143" s="3"/>
    </row>
    <row r="2144" ht="12.75">
      <c r="O2144" s="3"/>
    </row>
    <row r="2145" ht="12.75">
      <c r="O2145" s="3"/>
    </row>
    <row r="2146" ht="12.75">
      <c r="O2146" s="3"/>
    </row>
    <row r="2147" ht="12.75">
      <c r="O2147" s="3"/>
    </row>
    <row r="2148" ht="12.75">
      <c r="O2148" s="3"/>
    </row>
    <row r="2149" ht="12.75">
      <c r="O2149" s="3"/>
    </row>
    <row r="2150" ht="12.75">
      <c r="O2150" s="3"/>
    </row>
    <row r="2151" ht="12.75">
      <c r="O2151" s="3"/>
    </row>
    <row r="2152" ht="12.75">
      <c r="O2152" s="3"/>
    </row>
    <row r="2153" ht="12.75">
      <c r="O2153" s="3"/>
    </row>
    <row r="2154" ht="12.75">
      <c r="O2154" s="3"/>
    </row>
    <row r="2155" ht="12.75">
      <c r="O2155" s="3"/>
    </row>
    <row r="2156" ht="12.75">
      <c r="O2156" s="3"/>
    </row>
    <row r="2157" ht="12.75">
      <c r="O2157" s="3"/>
    </row>
    <row r="2158" ht="12.75">
      <c r="O2158" s="3"/>
    </row>
    <row r="2159" ht="12.75">
      <c r="O2159" s="3"/>
    </row>
    <row r="2160" ht="12.75">
      <c r="O2160" s="3"/>
    </row>
    <row r="2161" ht="12.75">
      <c r="O2161" s="3"/>
    </row>
    <row r="2162" ht="12.75">
      <c r="O2162" s="3"/>
    </row>
    <row r="2163" ht="12.75">
      <c r="O2163" s="3"/>
    </row>
    <row r="2164" ht="12.75">
      <c r="O2164" s="3"/>
    </row>
    <row r="2165" ht="12.75">
      <c r="O2165" s="3"/>
    </row>
    <row r="2166" ht="12.75">
      <c r="O2166" s="3"/>
    </row>
    <row r="2167" ht="12.75">
      <c r="O2167" s="3"/>
    </row>
    <row r="2168" ht="12.75">
      <c r="O2168" s="3"/>
    </row>
    <row r="2169" ht="12.75">
      <c r="O2169" s="3"/>
    </row>
    <row r="2170" ht="12.75">
      <c r="O2170" s="3"/>
    </row>
    <row r="2171" ht="12.75">
      <c r="O2171" s="3"/>
    </row>
    <row r="2172" ht="12.75">
      <c r="O2172" s="3"/>
    </row>
    <row r="2173" ht="12.75">
      <c r="O2173" s="3"/>
    </row>
    <row r="2174" ht="12.75">
      <c r="O2174" s="3"/>
    </row>
    <row r="2175" ht="12.75">
      <c r="O2175" s="3"/>
    </row>
    <row r="2176" ht="12.75">
      <c r="O2176" s="3"/>
    </row>
    <row r="2177" ht="12.75">
      <c r="O2177" s="3"/>
    </row>
    <row r="2178" ht="12.75">
      <c r="O2178" s="3"/>
    </row>
    <row r="2179" ht="12.75">
      <c r="O2179" s="3"/>
    </row>
    <row r="2180" ht="12.75">
      <c r="O2180" s="3"/>
    </row>
    <row r="2181" ht="12.75">
      <c r="O2181" s="3"/>
    </row>
    <row r="2182" ht="12.75">
      <c r="O2182" s="3"/>
    </row>
    <row r="2183" ht="12.75">
      <c r="O2183" s="3"/>
    </row>
    <row r="2184" ht="12.75">
      <c r="O2184" s="3"/>
    </row>
    <row r="2185" ht="12.75">
      <c r="O2185" s="3"/>
    </row>
    <row r="2186" ht="12.75">
      <c r="O2186" s="3"/>
    </row>
    <row r="2187" ht="12.75">
      <c r="O2187" s="3"/>
    </row>
    <row r="2188" ht="12.75">
      <c r="O2188" s="3"/>
    </row>
    <row r="2189" ht="12.75">
      <c r="O2189" s="3"/>
    </row>
    <row r="2190" ht="12.75">
      <c r="O2190" s="3"/>
    </row>
    <row r="2191" ht="12.75">
      <c r="O2191" s="3"/>
    </row>
    <row r="2192" ht="12.75">
      <c r="O2192" s="3"/>
    </row>
    <row r="2193" ht="12.75">
      <c r="O2193" s="3"/>
    </row>
    <row r="2194" ht="12.75">
      <c r="O2194" s="3"/>
    </row>
    <row r="2195" ht="12.75">
      <c r="O2195" s="3"/>
    </row>
    <row r="2196" ht="12.75">
      <c r="O2196" s="3"/>
    </row>
    <row r="2197" ht="12.75">
      <c r="O2197" s="3"/>
    </row>
    <row r="2198" ht="12.75">
      <c r="O2198" s="3"/>
    </row>
    <row r="2199" ht="12.75">
      <c r="O2199" s="3"/>
    </row>
    <row r="2200" ht="12.75">
      <c r="O2200" s="3"/>
    </row>
    <row r="2201" ht="12.75">
      <c r="O2201" s="3"/>
    </row>
    <row r="2202" ht="12.75">
      <c r="O2202" s="3"/>
    </row>
    <row r="2203" ht="12.75">
      <c r="O2203" s="3"/>
    </row>
    <row r="2204" ht="12.75">
      <c r="O2204" s="3"/>
    </row>
    <row r="2205" ht="12.75">
      <c r="O2205" s="3"/>
    </row>
    <row r="2206" ht="12.75">
      <c r="O2206" s="3"/>
    </row>
    <row r="2207" ht="12.75">
      <c r="O2207" s="3"/>
    </row>
    <row r="2208" ht="12.75">
      <c r="O2208" s="3"/>
    </row>
    <row r="2209" ht="12.75">
      <c r="O2209" s="3"/>
    </row>
    <row r="2210" ht="12.75">
      <c r="O2210" s="3"/>
    </row>
    <row r="2211" ht="12.75">
      <c r="O2211" s="3"/>
    </row>
    <row r="2212" ht="12.75">
      <c r="O2212" s="3"/>
    </row>
    <row r="2213" ht="12.75">
      <c r="O2213" s="3"/>
    </row>
    <row r="2214" ht="12.75">
      <c r="O2214" s="3"/>
    </row>
    <row r="2215" ht="12.75">
      <c r="O2215" s="3"/>
    </row>
    <row r="2216" ht="12.75">
      <c r="O2216" s="3"/>
    </row>
    <row r="2217" ht="12.75">
      <c r="O2217" s="3"/>
    </row>
    <row r="2218" ht="12.75">
      <c r="O2218" s="3"/>
    </row>
    <row r="2219" ht="12.75">
      <c r="O2219" s="3"/>
    </row>
    <row r="2220" ht="12.75">
      <c r="O2220" s="3"/>
    </row>
    <row r="2221" ht="12.75">
      <c r="O2221" s="3"/>
    </row>
    <row r="2222" ht="12.75">
      <c r="O2222" s="3"/>
    </row>
    <row r="2223" ht="12.75">
      <c r="O2223" s="3"/>
    </row>
    <row r="2224" ht="12.75">
      <c r="O2224" s="3"/>
    </row>
    <row r="2225" ht="12.75">
      <c r="O2225" s="3"/>
    </row>
    <row r="2226" ht="12.75">
      <c r="O2226" s="3"/>
    </row>
    <row r="2227" ht="12.75">
      <c r="O2227" s="3"/>
    </row>
    <row r="2228" ht="12.75">
      <c r="O2228" s="3"/>
    </row>
    <row r="2229" ht="12.75">
      <c r="O2229" s="3"/>
    </row>
    <row r="2230" ht="12.75">
      <c r="O2230" s="3"/>
    </row>
    <row r="2231" ht="12.75">
      <c r="O2231" s="3"/>
    </row>
    <row r="2232" ht="12.75">
      <c r="O2232" s="3"/>
    </row>
    <row r="2233" ht="12.75">
      <c r="O2233" s="3"/>
    </row>
    <row r="2234" ht="12.75">
      <c r="O2234" s="3"/>
    </row>
    <row r="2235" ht="12.75">
      <c r="O2235" s="3"/>
    </row>
    <row r="2236" ht="12.75">
      <c r="O2236" s="3"/>
    </row>
    <row r="2237" ht="12.75">
      <c r="O2237" s="3"/>
    </row>
    <row r="2238" ht="12.75">
      <c r="O2238" s="3"/>
    </row>
    <row r="2239" ht="12.75">
      <c r="O2239" s="3"/>
    </row>
    <row r="2240" ht="12.75">
      <c r="O2240" s="3"/>
    </row>
    <row r="2241" ht="12.75">
      <c r="O2241" s="3"/>
    </row>
    <row r="2242" ht="12.75">
      <c r="O2242" s="3"/>
    </row>
    <row r="2243" ht="12.75">
      <c r="O2243" s="3"/>
    </row>
    <row r="2244" ht="12.75">
      <c r="O2244" s="3"/>
    </row>
    <row r="2245" ht="12.75">
      <c r="O2245" s="3"/>
    </row>
    <row r="2246" ht="12.75">
      <c r="O2246" s="3"/>
    </row>
    <row r="2247" ht="12.75">
      <c r="O2247" s="3"/>
    </row>
    <row r="2248" ht="12.75">
      <c r="O2248" s="3"/>
    </row>
    <row r="2249" ht="12.75">
      <c r="O2249" s="3"/>
    </row>
    <row r="2250" ht="12.75">
      <c r="O2250" s="3"/>
    </row>
    <row r="2251" ht="12.75">
      <c r="O2251" s="3"/>
    </row>
    <row r="2252" ht="12.75">
      <c r="O2252" s="3"/>
    </row>
    <row r="2253" ht="12.75">
      <c r="O2253" s="3"/>
    </row>
    <row r="2254" ht="12.75">
      <c r="O2254" s="3"/>
    </row>
    <row r="2255" ht="12.75">
      <c r="O2255" s="3"/>
    </row>
    <row r="2256" ht="12.75">
      <c r="O2256" s="3"/>
    </row>
    <row r="2257" ht="12.75">
      <c r="O2257" s="3"/>
    </row>
    <row r="2258" ht="12.75">
      <c r="O2258" s="3"/>
    </row>
    <row r="2259" ht="12.75">
      <c r="O2259" s="3"/>
    </row>
    <row r="2260" ht="12.75">
      <c r="O2260" s="3"/>
    </row>
    <row r="2261" ht="12.75">
      <c r="O2261" s="3"/>
    </row>
    <row r="2262" ht="12.75">
      <c r="O2262" s="3"/>
    </row>
    <row r="2263" ht="12.75">
      <c r="O2263" s="3"/>
    </row>
    <row r="2264" ht="12.75">
      <c r="O2264" s="3"/>
    </row>
    <row r="2265" ht="12.75">
      <c r="O2265" s="3"/>
    </row>
    <row r="2266" ht="12.75">
      <c r="O2266" s="3"/>
    </row>
    <row r="2267" ht="12.75">
      <c r="O2267" s="3"/>
    </row>
    <row r="2268" ht="12.75">
      <c r="O2268" s="3"/>
    </row>
    <row r="2269" ht="12.75">
      <c r="O2269" s="3"/>
    </row>
    <row r="2270" ht="12.75">
      <c r="O2270" s="3"/>
    </row>
    <row r="2271" ht="12.75">
      <c r="O2271" s="3"/>
    </row>
    <row r="2272" ht="12.75">
      <c r="O2272" s="3"/>
    </row>
    <row r="2273" ht="12.75">
      <c r="O2273" s="3"/>
    </row>
    <row r="2274" ht="12.75">
      <c r="O2274" s="3"/>
    </row>
    <row r="2275" ht="12.75">
      <c r="O2275" s="3"/>
    </row>
    <row r="2276" ht="12.75">
      <c r="O2276" s="3"/>
    </row>
    <row r="2277" ht="12.75">
      <c r="O2277" s="3"/>
    </row>
    <row r="2278" ht="12.75">
      <c r="O2278" s="3"/>
    </row>
    <row r="2279" ht="12.75">
      <c r="O2279" s="3"/>
    </row>
    <row r="2280" ht="12.75">
      <c r="O2280" s="3"/>
    </row>
    <row r="2281" ht="12.75">
      <c r="O2281" s="3"/>
    </row>
    <row r="2282" ht="12.75">
      <c r="O2282" s="3"/>
    </row>
    <row r="2283" ht="12.75">
      <c r="O2283" s="3"/>
    </row>
    <row r="2284" ht="12.75">
      <c r="O2284" s="3"/>
    </row>
    <row r="2285" ht="12.75">
      <c r="O2285" s="3"/>
    </row>
    <row r="2286" ht="12.75">
      <c r="O2286" s="3"/>
    </row>
    <row r="2287" ht="12.75">
      <c r="O2287" s="3"/>
    </row>
    <row r="2288" ht="12.75">
      <c r="O2288" s="3"/>
    </row>
    <row r="2289" ht="12.75">
      <c r="O2289" s="3"/>
    </row>
    <row r="2290" ht="12.75">
      <c r="O2290" s="3"/>
    </row>
    <row r="2291" ht="12.75">
      <c r="O2291" s="3"/>
    </row>
    <row r="2292" ht="12.75">
      <c r="O2292" s="3"/>
    </row>
    <row r="2293" ht="12.75">
      <c r="O2293" s="3"/>
    </row>
    <row r="2294" ht="12.75">
      <c r="O2294" s="3"/>
    </row>
    <row r="2295" ht="12.75">
      <c r="O2295" s="3"/>
    </row>
    <row r="2296" ht="12.75">
      <c r="O2296" s="3"/>
    </row>
    <row r="2297" ht="12.75">
      <c r="O2297" s="3"/>
    </row>
    <row r="2298" ht="12.75">
      <c r="O2298" s="3"/>
    </row>
    <row r="2299" ht="12.75">
      <c r="O2299" s="3"/>
    </row>
    <row r="2300" ht="12.75">
      <c r="O2300" s="3"/>
    </row>
    <row r="2301" ht="12.75">
      <c r="O2301" s="3"/>
    </row>
    <row r="2302" ht="12.75">
      <c r="O2302" s="3"/>
    </row>
    <row r="2303" ht="12.75">
      <c r="O2303" s="3"/>
    </row>
    <row r="2304" ht="12.75">
      <c r="O2304" s="3"/>
    </row>
    <row r="2305" ht="12.75">
      <c r="O2305" s="3"/>
    </row>
    <row r="2306" ht="12.75">
      <c r="O2306" s="3"/>
    </row>
    <row r="2307" ht="12.75">
      <c r="O2307" s="3"/>
    </row>
    <row r="2308" ht="12.75">
      <c r="O2308" s="3"/>
    </row>
    <row r="2309" ht="12.75">
      <c r="O2309" s="3"/>
    </row>
    <row r="2310" ht="12.75">
      <c r="O2310" s="3"/>
    </row>
    <row r="2311" ht="12.75">
      <c r="O2311" s="3"/>
    </row>
    <row r="2312" ht="12.75">
      <c r="O2312" s="3"/>
    </row>
    <row r="2313" ht="12.75">
      <c r="O2313" s="3"/>
    </row>
    <row r="2314" ht="12.75">
      <c r="O2314" s="3"/>
    </row>
    <row r="2315" ht="12.75">
      <c r="O2315" s="3"/>
    </row>
    <row r="2316" ht="12.75">
      <c r="O2316" s="3"/>
    </row>
    <row r="2317" ht="12.75">
      <c r="O2317" s="3"/>
    </row>
    <row r="2318" ht="12.75">
      <c r="O2318" s="3"/>
    </row>
    <row r="2319" ht="12.75">
      <c r="O2319" s="3"/>
    </row>
    <row r="2320" ht="12.75">
      <c r="O2320" s="3"/>
    </row>
    <row r="2321" ht="12.75">
      <c r="O2321" s="3"/>
    </row>
    <row r="2322" ht="12.75">
      <c r="O2322" s="3"/>
    </row>
    <row r="2323" ht="12.75">
      <c r="O2323" s="3"/>
    </row>
    <row r="2324" ht="12.75">
      <c r="O2324" s="3"/>
    </row>
    <row r="2325" ht="12.75">
      <c r="O2325" s="3"/>
    </row>
    <row r="2326" ht="12.75">
      <c r="O2326" s="3"/>
    </row>
    <row r="2327" ht="12.75">
      <c r="O2327" s="3"/>
    </row>
    <row r="2328" ht="12.75">
      <c r="O2328" s="3"/>
    </row>
    <row r="2329" ht="12.75">
      <c r="O2329" s="3"/>
    </row>
    <row r="2330" ht="12.75">
      <c r="O2330" s="3"/>
    </row>
    <row r="2331" ht="12.75">
      <c r="O2331" s="3"/>
    </row>
    <row r="2332" ht="12.75">
      <c r="O2332" s="3"/>
    </row>
    <row r="2333" ht="12.75">
      <c r="O2333" s="3"/>
    </row>
    <row r="2334" ht="12.75">
      <c r="O2334" s="3"/>
    </row>
    <row r="2335" ht="12.75">
      <c r="O2335" s="3"/>
    </row>
    <row r="2336" ht="12.75">
      <c r="O2336" s="3"/>
    </row>
    <row r="2337" ht="12.75">
      <c r="O2337" s="3"/>
    </row>
    <row r="2338" ht="12.75">
      <c r="O2338" s="3"/>
    </row>
    <row r="2339" ht="12.75">
      <c r="O2339" s="3"/>
    </row>
    <row r="2340" ht="12.75">
      <c r="O2340" s="3"/>
    </row>
    <row r="2341" ht="12.75">
      <c r="O2341" s="3"/>
    </row>
    <row r="2342" ht="12.75">
      <c r="O2342" s="3"/>
    </row>
    <row r="2343" ht="12.75">
      <c r="O2343" s="3"/>
    </row>
    <row r="2344" ht="12.75">
      <c r="O2344" s="3"/>
    </row>
    <row r="2345" ht="12.75">
      <c r="O2345" s="3"/>
    </row>
    <row r="2346" ht="12.75">
      <c r="O2346" s="3"/>
    </row>
    <row r="2347" ht="12.75">
      <c r="O2347" s="3"/>
    </row>
    <row r="2348" ht="12.75">
      <c r="O2348" s="3"/>
    </row>
    <row r="2349" ht="12.75">
      <c r="O2349" s="3"/>
    </row>
    <row r="2350" ht="12.75">
      <c r="O2350" s="3"/>
    </row>
    <row r="2351" ht="12.75">
      <c r="O2351" s="3"/>
    </row>
    <row r="2352" ht="12.75">
      <c r="O2352" s="3"/>
    </row>
    <row r="2353" ht="12.75">
      <c r="O2353" s="3"/>
    </row>
    <row r="2354" ht="12.75">
      <c r="O2354" s="3"/>
    </row>
    <row r="2355" ht="12.75">
      <c r="O2355" s="3"/>
    </row>
    <row r="2356" ht="12.75">
      <c r="O2356" s="3"/>
    </row>
    <row r="2357" ht="12.75">
      <c r="O2357" s="3"/>
    </row>
    <row r="2358" ht="12.75">
      <c r="O2358" s="3"/>
    </row>
    <row r="2359" ht="12.75">
      <c r="O2359" s="3"/>
    </row>
    <row r="2360" ht="12.75">
      <c r="O2360" s="3"/>
    </row>
    <row r="2361" ht="12.75">
      <c r="O2361" s="3"/>
    </row>
    <row r="2362" ht="12.75">
      <c r="O2362" s="3"/>
    </row>
    <row r="2363" ht="12.75">
      <c r="O2363" s="3"/>
    </row>
    <row r="2364" ht="12.75">
      <c r="O2364" s="3"/>
    </row>
    <row r="2365" ht="12.75">
      <c r="O2365" s="3"/>
    </row>
    <row r="2366" ht="12.75">
      <c r="O2366" s="3"/>
    </row>
    <row r="2367" ht="12.75">
      <c r="O2367" s="3"/>
    </row>
    <row r="2368" ht="12.75">
      <c r="O2368" s="3"/>
    </row>
    <row r="2369" ht="12.75">
      <c r="O2369" s="3"/>
    </row>
    <row r="2370" ht="12.75">
      <c r="O2370" s="3"/>
    </row>
    <row r="2371" ht="12.75">
      <c r="O2371" s="3"/>
    </row>
    <row r="2372" ht="12.75">
      <c r="O2372" s="3"/>
    </row>
    <row r="2373" ht="12.75">
      <c r="O2373" s="3"/>
    </row>
    <row r="2374" ht="12.75">
      <c r="O2374" s="3"/>
    </row>
    <row r="2375" ht="12.75">
      <c r="O2375" s="3"/>
    </row>
    <row r="2376" ht="12.75">
      <c r="O2376" s="3"/>
    </row>
    <row r="2377" ht="12.75">
      <c r="O2377" s="3"/>
    </row>
    <row r="2378" ht="12.75">
      <c r="O2378" s="3"/>
    </row>
    <row r="2379" ht="12.75">
      <c r="O2379" s="3"/>
    </row>
    <row r="2380" ht="12.75">
      <c r="O2380" s="3"/>
    </row>
    <row r="2381" ht="12.75">
      <c r="O2381" s="3"/>
    </row>
    <row r="2382" ht="12.75">
      <c r="O2382" s="3"/>
    </row>
    <row r="2383" ht="12.75">
      <c r="O2383" s="3"/>
    </row>
    <row r="2384" ht="12.75">
      <c r="O2384" s="3"/>
    </row>
    <row r="2385" ht="12.75">
      <c r="O2385" s="3"/>
    </row>
    <row r="2386" ht="12.75">
      <c r="O2386" s="3"/>
    </row>
    <row r="2387" ht="12.75">
      <c r="O2387" s="3"/>
    </row>
    <row r="2388" ht="12.75">
      <c r="O2388" s="3"/>
    </row>
    <row r="2389" ht="12.75">
      <c r="O2389" s="3"/>
    </row>
    <row r="2390" ht="12.75">
      <c r="O2390" s="3"/>
    </row>
    <row r="2391" ht="12.75">
      <c r="O2391" s="3"/>
    </row>
    <row r="2392" ht="12.75">
      <c r="O2392" s="3"/>
    </row>
    <row r="2393" ht="12.75">
      <c r="O2393" s="3"/>
    </row>
    <row r="2394" ht="12.75">
      <c r="O2394" s="3"/>
    </row>
    <row r="2395" ht="12.75">
      <c r="O2395" s="3"/>
    </row>
    <row r="2396" ht="12.75">
      <c r="O2396" s="3"/>
    </row>
    <row r="2397" ht="12.75">
      <c r="O2397" s="3"/>
    </row>
    <row r="2398" ht="12.75">
      <c r="O2398" s="3"/>
    </row>
    <row r="2399" ht="12.75">
      <c r="O2399" s="3"/>
    </row>
    <row r="2400" ht="12.75">
      <c r="O2400" s="3"/>
    </row>
    <row r="2401" ht="12.75">
      <c r="O2401" s="3"/>
    </row>
    <row r="2402" ht="12.75">
      <c r="O2402" s="3"/>
    </row>
    <row r="2403" ht="12.75">
      <c r="O2403" s="3"/>
    </row>
    <row r="2404" ht="12.75">
      <c r="O2404" s="3"/>
    </row>
    <row r="2405" ht="12.75">
      <c r="O2405" s="3"/>
    </row>
    <row r="2406" ht="12.75">
      <c r="O2406" s="3"/>
    </row>
    <row r="2407" ht="12.75">
      <c r="O2407" s="3"/>
    </row>
    <row r="2408" ht="12.75">
      <c r="O2408" s="3"/>
    </row>
    <row r="2409" ht="12.75">
      <c r="O2409" s="3"/>
    </row>
    <row r="2410" ht="12.75">
      <c r="O2410" s="3"/>
    </row>
    <row r="2411" ht="12.75">
      <c r="O2411" s="3"/>
    </row>
    <row r="2412" ht="12.75">
      <c r="O2412" s="3"/>
    </row>
    <row r="2413" ht="12.75">
      <c r="O2413" s="3"/>
    </row>
    <row r="2414" ht="12.75">
      <c r="O2414" s="3"/>
    </row>
    <row r="2415" ht="12.75">
      <c r="O2415" s="3"/>
    </row>
    <row r="2416" ht="12.75">
      <c r="O2416" s="3"/>
    </row>
    <row r="2417" ht="12.75">
      <c r="O2417" s="3"/>
    </row>
    <row r="2418" ht="12.75">
      <c r="O2418" s="3"/>
    </row>
    <row r="2419" ht="12.75">
      <c r="O2419" s="3"/>
    </row>
    <row r="2420" ht="12.75">
      <c r="O2420" s="3"/>
    </row>
    <row r="2421" ht="12.75">
      <c r="O2421" s="3"/>
    </row>
    <row r="2422" ht="12.75">
      <c r="O2422" s="3"/>
    </row>
    <row r="2423" ht="12.75">
      <c r="O2423" s="3"/>
    </row>
    <row r="2424" ht="12.75">
      <c r="O2424" s="3"/>
    </row>
    <row r="2425" ht="12.75">
      <c r="O2425" s="3"/>
    </row>
    <row r="2426" ht="12.75">
      <c r="O2426" s="3"/>
    </row>
    <row r="2427" ht="12.75">
      <c r="O2427" s="3"/>
    </row>
    <row r="2428" ht="12.75">
      <c r="O2428" s="3"/>
    </row>
    <row r="2429" ht="12.75">
      <c r="O2429" s="3"/>
    </row>
    <row r="2430" ht="12.75">
      <c r="O2430" s="3"/>
    </row>
    <row r="2431" ht="12.75">
      <c r="O2431" s="3"/>
    </row>
    <row r="2432" ht="12.75">
      <c r="O2432" s="3"/>
    </row>
    <row r="2433" ht="12.75">
      <c r="O2433" s="3"/>
    </row>
    <row r="2434" ht="12.75">
      <c r="O2434" s="3"/>
    </row>
    <row r="2435" ht="12.75">
      <c r="O2435" s="3"/>
    </row>
    <row r="2436" ht="12.75">
      <c r="O2436" s="3"/>
    </row>
    <row r="2437" ht="12.75">
      <c r="O2437" s="3"/>
    </row>
    <row r="2438" ht="12.75">
      <c r="O2438" s="3"/>
    </row>
    <row r="2439" ht="12.75">
      <c r="O2439" s="3"/>
    </row>
    <row r="2440" ht="12.75">
      <c r="O2440" s="3"/>
    </row>
    <row r="2441" ht="12.75">
      <c r="O2441" s="3"/>
    </row>
    <row r="2442" ht="12.75">
      <c r="O2442" s="3"/>
    </row>
    <row r="2443" ht="12.75">
      <c r="O2443" s="3"/>
    </row>
    <row r="2444" ht="12.75">
      <c r="O2444" s="3"/>
    </row>
    <row r="2445" ht="12.75">
      <c r="O2445" s="3"/>
    </row>
    <row r="2446" ht="12.75">
      <c r="O2446" s="3"/>
    </row>
    <row r="2447" ht="12.75">
      <c r="O2447" s="3"/>
    </row>
    <row r="2448" ht="12.75">
      <c r="O2448" s="3"/>
    </row>
    <row r="2449" ht="12.75">
      <c r="O2449" s="3"/>
    </row>
    <row r="2450" ht="12.75">
      <c r="O2450" s="3"/>
    </row>
    <row r="2451" ht="12.75">
      <c r="O2451" s="3"/>
    </row>
    <row r="2452" ht="12.75">
      <c r="O2452" s="3"/>
    </row>
    <row r="2453" ht="12.75">
      <c r="O2453" s="3"/>
    </row>
    <row r="2454" ht="12.75">
      <c r="O2454" s="3"/>
    </row>
    <row r="2455" ht="12.75">
      <c r="O2455" s="3"/>
    </row>
    <row r="2456" ht="12.75">
      <c r="O2456" s="3"/>
    </row>
    <row r="2457" ht="12.75">
      <c r="O2457" s="3"/>
    </row>
    <row r="2458" ht="12.75">
      <c r="O2458" s="3"/>
    </row>
    <row r="2459" ht="12.75">
      <c r="O2459" s="3"/>
    </row>
    <row r="2460" ht="12.75">
      <c r="O2460" s="3"/>
    </row>
    <row r="2461" ht="12.75">
      <c r="O2461" s="3"/>
    </row>
    <row r="2462" ht="12.75">
      <c r="O2462" s="3"/>
    </row>
    <row r="2463" ht="12.75">
      <c r="O2463" s="3"/>
    </row>
    <row r="2464" ht="12.75">
      <c r="O2464" s="3"/>
    </row>
    <row r="2465" ht="12.75">
      <c r="O2465" s="3"/>
    </row>
    <row r="2466" ht="12.75">
      <c r="O2466" s="3"/>
    </row>
    <row r="2467" ht="12.75">
      <c r="O2467" s="3"/>
    </row>
    <row r="2468" ht="12.75">
      <c r="O2468" s="3"/>
    </row>
    <row r="2469" ht="12.75">
      <c r="O2469" s="3"/>
    </row>
    <row r="2470" ht="12.75">
      <c r="O2470" s="3"/>
    </row>
    <row r="2471" ht="12.75">
      <c r="O2471" s="3"/>
    </row>
    <row r="2472" ht="12.75">
      <c r="O2472" s="3"/>
    </row>
    <row r="2473" ht="12.75">
      <c r="O2473" s="3"/>
    </row>
    <row r="2474" ht="12.75">
      <c r="O2474" s="3"/>
    </row>
    <row r="2475" ht="12.75">
      <c r="O2475" s="3"/>
    </row>
    <row r="2476" ht="12.75">
      <c r="O2476" s="3"/>
    </row>
    <row r="2477" ht="12.75">
      <c r="O2477" s="3"/>
    </row>
    <row r="2478" ht="12.75">
      <c r="O2478" s="3"/>
    </row>
    <row r="2479" ht="12.75">
      <c r="O2479" s="3"/>
    </row>
    <row r="2480" ht="12.75">
      <c r="O2480" s="3"/>
    </row>
    <row r="2481" ht="12.75">
      <c r="O2481" s="3"/>
    </row>
    <row r="2482" ht="12.75">
      <c r="O2482" s="3"/>
    </row>
    <row r="2483" ht="12.75">
      <c r="O2483" s="3"/>
    </row>
    <row r="2484" ht="12.75">
      <c r="O2484" s="3"/>
    </row>
    <row r="2485" ht="12.75">
      <c r="O2485" s="3"/>
    </row>
    <row r="2486" ht="12.75">
      <c r="O2486" s="3"/>
    </row>
    <row r="2487" ht="12.75">
      <c r="O2487" s="3"/>
    </row>
    <row r="2488" ht="12.75">
      <c r="O2488" s="3"/>
    </row>
    <row r="2489" ht="12.75">
      <c r="O2489" s="3"/>
    </row>
    <row r="2490" ht="12.75">
      <c r="O2490" s="3"/>
    </row>
    <row r="2491" ht="12.75">
      <c r="O2491" s="3"/>
    </row>
    <row r="2492" ht="12.75">
      <c r="O2492" s="3"/>
    </row>
    <row r="2493" ht="12.75">
      <c r="O2493" s="3"/>
    </row>
    <row r="2494" ht="12.75">
      <c r="O2494" s="3"/>
    </row>
    <row r="2495" ht="12.75">
      <c r="O2495" s="3"/>
    </row>
    <row r="2496" ht="12.75">
      <c r="O2496" s="3"/>
    </row>
    <row r="2497" ht="12.75">
      <c r="O2497" s="3"/>
    </row>
    <row r="2498" ht="12.75">
      <c r="O2498" s="3"/>
    </row>
    <row r="2499" ht="12.75">
      <c r="O2499" s="3"/>
    </row>
    <row r="2500" ht="12.75">
      <c r="O2500" s="3"/>
    </row>
    <row r="2501" ht="12.75">
      <c r="O2501" s="3"/>
    </row>
    <row r="2502" ht="12.75">
      <c r="O2502" s="3"/>
    </row>
    <row r="2503" ht="12.75">
      <c r="O2503" s="3"/>
    </row>
    <row r="2504" ht="12.75">
      <c r="O2504" s="3"/>
    </row>
    <row r="2505" ht="12.75">
      <c r="O2505" s="3"/>
    </row>
    <row r="2506" ht="12.75">
      <c r="O2506" s="3"/>
    </row>
    <row r="2507" ht="12.75">
      <c r="O2507" s="3"/>
    </row>
    <row r="2508" ht="12.75">
      <c r="O2508" s="3"/>
    </row>
    <row r="2509" ht="12.75">
      <c r="O2509" s="3"/>
    </row>
    <row r="2510" ht="12.75">
      <c r="O2510" s="3"/>
    </row>
    <row r="2511" ht="12.75">
      <c r="O2511" s="3"/>
    </row>
    <row r="2512" ht="12.75">
      <c r="O2512" s="3"/>
    </row>
    <row r="2513" ht="12.75">
      <c r="O2513" s="3"/>
    </row>
    <row r="2514" ht="12.75">
      <c r="O2514" s="3"/>
    </row>
    <row r="2515" ht="12.75">
      <c r="O2515" s="3"/>
    </row>
    <row r="2516" ht="12.75">
      <c r="O2516" s="3"/>
    </row>
    <row r="2517" ht="12.75">
      <c r="O2517" s="3"/>
    </row>
    <row r="2518" ht="12.75">
      <c r="O2518" s="3"/>
    </row>
    <row r="2519" ht="12.75">
      <c r="O2519" s="3"/>
    </row>
    <row r="2520" ht="12.75">
      <c r="O2520" s="3"/>
    </row>
    <row r="2521" ht="12.75">
      <c r="O2521" s="3"/>
    </row>
    <row r="2522" ht="12.75">
      <c r="O2522" s="3"/>
    </row>
    <row r="2523" ht="12.75">
      <c r="O2523" s="3"/>
    </row>
    <row r="2524" ht="12.75">
      <c r="O2524" s="3"/>
    </row>
    <row r="2525" ht="12.75">
      <c r="O2525" s="3"/>
    </row>
    <row r="2526" ht="12.75">
      <c r="O2526" s="3"/>
    </row>
    <row r="2527" ht="12.75">
      <c r="O2527" s="3"/>
    </row>
    <row r="2528" ht="12.75">
      <c r="O2528" s="3"/>
    </row>
    <row r="2529" ht="12.75">
      <c r="O2529" s="3"/>
    </row>
    <row r="2530" ht="12.75">
      <c r="O2530" s="3"/>
    </row>
    <row r="2531" ht="12.75">
      <c r="O2531" s="3"/>
    </row>
    <row r="2532" ht="12.75">
      <c r="O2532" s="3"/>
    </row>
    <row r="2533" ht="12.75">
      <c r="O2533" s="3"/>
    </row>
    <row r="2534" ht="12.75">
      <c r="O2534" s="3"/>
    </row>
    <row r="2535" ht="12.75">
      <c r="O2535" s="3"/>
    </row>
    <row r="2536" ht="12.75">
      <c r="O2536" s="3"/>
    </row>
    <row r="2537" ht="12.75">
      <c r="O2537" s="3"/>
    </row>
    <row r="2538" ht="12.75">
      <c r="O2538" s="3"/>
    </row>
    <row r="2539" ht="12.75">
      <c r="O2539" s="3"/>
    </row>
    <row r="2540" ht="12.75">
      <c r="O2540" s="3"/>
    </row>
    <row r="2541" ht="12.75">
      <c r="O2541" s="3"/>
    </row>
    <row r="2542" ht="12.75">
      <c r="O2542" s="3"/>
    </row>
    <row r="2543" ht="12.75">
      <c r="O2543" s="3"/>
    </row>
    <row r="2544" ht="12.75">
      <c r="O2544" s="3"/>
    </row>
    <row r="2545" ht="12.75">
      <c r="O2545" s="3"/>
    </row>
    <row r="2546" ht="12.75">
      <c r="O2546" s="3"/>
    </row>
    <row r="2547" ht="12.75">
      <c r="O2547" s="3"/>
    </row>
    <row r="2548" ht="12.75">
      <c r="O2548" s="3"/>
    </row>
    <row r="2549" ht="12.75">
      <c r="O2549" s="3"/>
    </row>
    <row r="2550" ht="12.75">
      <c r="O2550" s="3"/>
    </row>
    <row r="2551" ht="12.75">
      <c r="O2551" s="3"/>
    </row>
    <row r="2552" ht="12.75">
      <c r="O2552" s="3"/>
    </row>
    <row r="2553" ht="12.75">
      <c r="O2553" s="3"/>
    </row>
    <row r="2554" ht="12.75">
      <c r="O2554" s="3"/>
    </row>
    <row r="2555" ht="12.75">
      <c r="O2555" s="3"/>
    </row>
    <row r="2556" ht="12.75">
      <c r="O2556" s="3"/>
    </row>
    <row r="2557" ht="12.75">
      <c r="O2557" s="3"/>
    </row>
    <row r="2558" ht="12.75">
      <c r="O2558" s="3"/>
    </row>
    <row r="2559" ht="12.75">
      <c r="O2559" s="3"/>
    </row>
    <row r="2560" ht="12.75">
      <c r="O2560" s="3"/>
    </row>
    <row r="2561" ht="12.75">
      <c r="O2561" s="3"/>
    </row>
    <row r="2562" ht="12.75">
      <c r="O2562" s="3"/>
    </row>
    <row r="2563" ht="12.75">
      <c r="O2563" s="3"/>
    </row>
    <row r="2564" ht="12.75">
      <c r="O2564" s="3"/>
    </row>
    <row r="2565" ht="12.75">
      <c r="O2565" s="3"/>
    </row>
    <row r="2566" ht="12.75">
      <c r="O2566" s="3"/>
    </row>
    <row r="2567" ht="12.75">
      <c r="O2567" s="3"/>
    </row>
    <row r="2568" ht="12.75">
      <c r="O2568" s="3"/>
    </row>
    <row r="2569" ht="12.75">
      <c r="O2569" s="3"/>
    </row>
    <row r="2570" ht="12.75">
      <c r="O2570" s="3"/>
    </row>
    <row r="2571" ht="12.75">
      <c r="O2571" s="3"/>
    </row>
    <row r="2572" ht="12.75">
      <c r="O2572" s="3"/>
    </row>
    <row r="2573" ht="12.75">
      <c r="O2573" s="3"/>
    </row>
    <row r="2574" ht="12.75">
      <c r="O2574" s="3"/>
    </row>
    <row r="2575" ht="12.75">
      <c r="O2575" s="3"/>
    </row>
    <row r="2576" ht="12.75">
      <c r="O2576" s="3"/>
    </row>
    <row r="2577" ht="12.75">
      <c r="O2577" s="3"/>
    </row>
    <row r="2578" ht="12.75">
      <c r="O2578" s="3"/>
    </row>
    <row r="2579" ht="12.75">
      <c r="O2579" s="3"/>
    </row>
    <row r="2580" ht="12.75">
      <c r="O2580" s="3"/>
    </row>
    <row r="2581" ht="12.75">
      <c r="O2581" s="3"/>
    </row>
    <row r="2582" ht="12.75">
      <c r="O2582" s="3"/>
    </row>
    <row r="2583" ht="12.75">
      <c r="O2583" s="3"/>
    </row>
    <row r="2584" ht="12.75">
      <c r="O2584" s="3"/>
    </row>
    <row r="2585" ht="12.75">
      <c r="O2585" s="3"/>
    </row>
    <row r="2586" ht="12.75">
      <c r="O2586" s="3"/>
    </row>
    <row r="2587" ht="12.75">
      <c r="O2587" s="3"/>
    </row>
    <row r="2588" ht="12.75">
      <c r="O2588" s="3"/>
    </row>
    <row r="2589" ht="12.75">
      <c r="O2589" s="3"/>
    </row>
    <row r="2590" ht="12.75">
      <c r="O2590" s="3"/>
    </row>
    <row r="2591" ht="12.75">
      <c r="O2591" s="3"/>
    </row>
    <row r="2592" ht="12.75">
      <c r="O2592" s="3"/>
    </row>
    <row r="2593" ht="12.75">
      <c r="O2593" s="3"/>
    </row>
    <row r="2594" ht="12.75">
      <c r="O2594" s="3"/>
    </row>
    <row r="2595" ht="12.75">
      <c r="O2595" s="3"/>
    </row>
    <row r="2596" ht="12.75">
      <c r="O2596" s="3"/>
    </row>
    <row r="2597" ht="12.75">
      <c r="O2597" s="3"/>
    </row>
    <row r="2598" ht="12.75">
      <c r="O2598" s="3"/>
    </row>
    <row r="2599" ht="12.75">
      <c r="O2599" s="3"/>
    </row>
    <row r="2600" ht="12.75">
      <c r="O2600" s="3"/>
    </row>
    <row r="2601" ht="12.75">
      <c r="O2601" s="3"/>
    </row>
    <row r="2602" ht="12.75">
      <c r="O2602" s="3"/>
    </row>
    <row r="2603" ht="12.75">
      <c r="O2603" s="3"/>
    </row>
    <row r="2604" ht="12.75">
      <c r="O2604" s="3"/>
    </row>
    <row r="2605" ht="12.75">
      <c r="O2605" s="3"/>
    </row>
    <row r="2606" ht="12.75">
      <c r="O2606" s="3"/>
    </row>
    <row r="2607" ht="12.75">
      <c r="O2607" s="3"/>
    </row>
    <row r="2608" ht="12.75">
      <c r="O2608" s="3"/>
    </row>
    <row r="2609" ht="12.75">
      <c r="O2609" s="3"/>
    </row>
    <row r="2610" ht="12.75">
      <c r="O2610" s="3"/>
    </row>
    <row r="2611" ht="12.75">
      <c r="O2611" s="3"/>
    </row>
    <row r="2612" ht="12.75">
      <c r="O2612" s="3"/>
    </row>
    <row r="2613" ht="12.75">
      <c r="O2613" s="3"/>
    </row>
    <row r="2614" ht="12.75">
      <c r="O2614" s="3"/>
    </row>
    <row r="2615" ht="12.75">
      <c r="O2615" s="3"/>
    </row>
    <row r="2616" ht="12.75">
      <c r="O2616" s="3"/>
    </row>
    <row r="2617" ht="12.75">
      <c r="O2617" s="3"/>
    </row>
    <row r="2618" ht="12.75">
      <c r="O2618" s="3"/>
    </row>
    <row r="2619" ht="12.75">
      <c r="O2619" s="3"/>
    </row>
    <row r="2620" ht="12.75">
      <c r="O2620" s="3"/>
    </row>
    <row r="2621" ht="12.75">
      <c r="O2621" s="3"/>
    </row>
    <row r="2622" ht="12.75">
      <c r="O2622" s="3"/>
    </row>
    <row r="2623" ht="12.75">
      <c r="O2623" s="3"/>
    </row>
    <row r="2624" ht="12.75">
      <c r="O2624" s="3"/>
    </row>
    <row r="2625" ht="12.75">
      <c r="O2625" s="3"/>
    </row>
    <row r="2626" ht="12.75">
      <c r="O2626" s="3"/>
    </row>
    <row r="2627" ht="12.75">
      <c r="O2627" s="3"/>
    </row>
    <row r="2628" ht="12.75">
      <c r="O2628" s="3"/>
    </row>
    <row r="2629" ht="12.75">
      <c r="O2629" s="3"/>
    </row>
    <row r="2630" ht="12.75">
      <c r="O2630" s="3"/>
    </row>
    <row r="2631" ht="12.75">
      <c r="O2631" s="3"/>
    </row>
    <row r="2632" ht="12.75">
      <c r="O2632" s="3"/>
    </row>
    <row r="2633" ht="12.75">
      <c r="O2633" s="3"/>
    </row>
    <row r="2634" ht="12.75">
      <c r="O2634" s="3"/>
    </row>
    <row r="2635" ht="12.75">
      <c r="O2635" s="3"/>
    </row>
    <row r="2636" ht="12.75">
      <c r="O2636" s="3"/>
    </row>
    <row r="2637" ht="12.75">
      <c r="O2637" s="3"/>
    </row>
    <row r="2638" ht="12.75">
      <c r="O2638" s="3"/>
    </row>
    <row r="2639" ht="12.75">
      <c r="O2639" s="3"/>
    </row>
    <row r="2640" ht="12.75">
      <c r="O2640" s="3"/>
    </row>
    <row r="2641" ht="12.75">
      <c r="O2641" s="3"/>
    </row>
    <row r="2642" ht="12.75">
      <c r="O2642" s="3"/>
    </row>
    <row r="2643" ht="12.75">
      <c r="O2643" s="3"/>
    </row>
    <row r="2644" ht="12.75">
      <c r="O2644" s="3"/>
    </row>
    <row r="2645" ht="12.75">
      <c r="O2645" s="3"/>
    </row>
    <row r="2646" ht="12.75">
      <c r="O2646" s="3"/>
    </row>
    <row r="2647" ht="12.75">
      <c r="O2647" s="3"/>
    </row>
    <row r="2648" ht="12.75">
      <c r="O2648" s="3"/>
    </row>
    <row r="2649" ht="12.75">
      <c r="O2649" s="3"/>
    </row>
    <row r="2650" ht="12.75">
      <c r="O2650" s="3"/>
    </row>
    <row r="2651" ht="12.75">
      <c r="O2651" s="3"/>
    </row>
    <row r="2652" ht="12.75">
      <c r="O2652" s="3"/>
    </row>
    <row r="2653" ht="12.75">
      <c r="O2653" s="3"/>
    </row>
    <row r="2654" ht="12.75">
      <c r="O2654" s="3"/>
    </row>
    <row r="2655" ht="12.75">
      <c r="O2655" s="3"/>
    </row>
    <row r="2656" ht="12.75">
      <c r="O2656" s="3"/>
    </row>
    <row r="2657" ht="12.75">
      <c r="O2657" s="3"/>
    </row>
    <row r="2658" ht="12.75">
      <c r="O2658" s="3"/>
    </row>
    <row r="2659" ht="12.75">
      <c r="O2659" s="3"/>
    </row>
    <row r="2660" ht="12.75">
      <c r="O2660" s="3"/>
    </row>
    <row r="2661" ht="12.75">
      <c r="O2661" s="3"/>
    </row>
    <row r="2662" ht="12.75">
      <c r="O2662" s="3"/>
    </row>
    <row r="2663" ht="12.75">
      <c r="O2663" s="3"/>
    </row>
    <row r="2664" ht="12.75">
      <c r="O2664" s="3"/>
    </row>
    <row r="2665" ht="12.75">
      <c r="O2665" s="3"/>
    </row>
    <row r="2666" ht="12.75">
      <c r="O2666" s="3"/>
    </row>
    <row r="2667" ht="12.75">
      <c r="O2667" s="3"/>
    </row>
    <row r="2668" ht="12.75">
      <c r="O2668" s="3"/>
    </row>
    <row r="2669" ht="12.75">
      <c r="O2669" s="3"/>
    </row>
    <row r="2670" ht="12.75">
      <c r="O2670" s="3"/>
    </row>
    <row r="2671" ht="12.75">
      <c r="O2671" s="3"/>
    </row>
    <row r="2672" ht="12.75">
      <c r="O2672" s="3"/>
    </row>
    <row r="2673" ht="12.75">
      <c r="O2673" s="3"/>
    </row>
    <row r="2674" ht="12.75">
      <c r="O2674" s="3"/>
    </row>
    <row r="2675" ht="12.75">
      <c r="O2675" s="3"/>
    </row>
    <row r="2676" ht="12.75">
      <c r="O2676" s="3"/>
    </row>
    <row r="2677" ht="12.75">
      <c r="O2677" s="3"/>
    </row>
    <row r="2678" ht="12.75">
      <c r="O2678" s="3"/>
    </row>
    <row r="2679" ht="12.75">
      <c r="O2679" s="3"/>
    </row>
    <row r="2680" ht="12.75">
      <c r="O2680" s="3"/>
    </row>
    <row r="2681" ht="12.75">
      <c r="O2681" s="3"/>
    </row>
    <row r="2682" ht="12.75">
      <c r="O2682" s="3"/>
    </row>
    <row r="2683" ht="12.75">
      <c r="O2683" s="3"/>
    </row>
    <row r="2684" ht="12.75">
      <c r="O2684" s="3"/>
    </row>
    <row r="2685" ht="12.75">
      <c r="O2685" s="3"/>
    </row>
    <row r="2686" ht="12.75">
      <c r="O2686" s="3"/>
    </row>
    <row r="2687" ht="12.75">
      <c r="O2687" s="3"/>
    </row>
    <row r="2688" ht="12.75">
      <c r="O2688" s="3"/>
    </row>
    <row r="2689" ht="12.75">
      <c r="O2689" s="3"/>
    </row>
    <row r="2690" ht="12.75">
      <c r="O2690" s="3"/>
    </row>
    <row r="2691" ht="12.75">
      <c r="O2691" s="3"/>
    </row>
    <row r="2692" ht="12.75">
      <c r="O2692" s="3"/>
    </row>
    <row r="2693" ht="12.75">
      <c r="O2693" s="3"/>
    </row>
    <row r="2694" ht="12.75">
      <c r="O2694" s="3"/>
    </row>
    <row r="2695" ht="12.75">
      <c r="O2695" s="3"/>
    </row>
    <row r="2696" ht="12.75">
      <c r="O2696" s="3"/>
    </row>
    <row r="2697" ht="12.75">
      <c r="O2697" s="3"/>
    </row>
    <row r="2698" ht="12.75">
      <c r="O2698" s="3"/>
    </row>
    <row r="2699" ht="12.75">
      <c r="O2699" s="3"/>
    </row>
    <row r="2700" ht="12.75">
      <c r="O2700" s="3"/>
    </row>
    <row r="2701" ht="12.75">
      <c r="O2701" s="3"/>
    </row>
    <row r="2702" ht="12.75">
      <c r="O2702" s="3"/>
    </row>
    <row r="2703" ht="12.75">
      <c r="O2703" s="3"/>
    </row>
    <row r="2704" ht="12.75">
      <c r="O2704" s="3"/>
    </row>
    <row r="2705" ht="12.75">
      <c r="O2705" s="3"/>
    </row>
    <row r="2706" ht="12.75">
      <c r="O2706" s="3"/>
    </row>
    <row r="2707" ht="12.75">
      <c r="O2707" s="3"/>
    </row>
    <row r="2708" ht="12.75">
      <c r="O2708" s="3"/>
    </row>
    <row r="2709" ht="12.75">
      <c r="O2709" s="3"/>
    </row>
    <row r="2710" ht="12.75">
      <c r="O2710" s="3"/>
    </row>
    <row r="2711" ht="12.75">
      <c r="O2711" s="3"/>
    </row>
    <row r="2712" ht="12.75">
      <c r="O2712" s="3"/>
    </row>
    <row r="2713" ht="12.75">
      <c r="O2713" s="3"/>
    </row>
    <row r="2714" ht="12.75">
      <c r="O2714" s="3"/>
    </row>
    <row r="2715" ht="12.75">
      <c r="O2715" s="3"/>
    </row>
    <row r="2716" ht="12.75">
      <c r="O2716" s="3"/>
    </row>
    <row r="2717" ht="12.75">
      <c r="O2717" s="3"/>
    </row>
    <row r="2718" ht="12.75">
      <c r="O2718" s="3"/>
    </row>
    <row r="2719" ht="12.75">
      <c r="O2719" s="3"/>
    </row>
    <row r="2720" ht="12.75">
      <c r="O2720" s="3"/>
    </row>
    <row r="2721" ht="12.75">
      <c r="O2721" s="3"/>
    </row>
    <row r="2722" ht="12.75">
      <c r="O2722" s="3"/>
    </row>
    <row r="2723" ht="12.75">
      <c r="O2723" s="3"/>
    </row>
    <row r="2724" ht="12.75">
      <c r="O2724" s="3"/>
    </row>
    <row r="2725" ht="12.75">
      <c r="O2725" s="3"/>
    </row>
    <row r="2726" ht="12.75">
      <c r="O2726" s="3"/>
    </row>
    <row r="2727" ht="12.75">
      <c r="O2727" s="3"/>
    </row>
    <row r="2728" ht="12.75">
      <c r="O2728" s="3"/>
    </row>
    <row r="2729" ht="12.75">
      <c r="O2729" s="3"/>
    </row>
    <row r="2730" ht="12.75">
      <c r="O2730" s="3"/>
    </row>
    <row r="2731" ht="12.75">
      <c r="O2731" s="3"/>
    </row>
    <row r="2732" ht="12.75">
      <c r="O2732" s="3"/>
    </row>
    <row r="2733" ht="12.75">
      <c r="O2733" s="3"/>
    </row>
    <row r="2734" ht="12.75">
      <c r="O2734" s="3"/>
    </row>
    <row r="2735" ht="12.75">
      <c r="O2735" s="3"/>
    </row>
    <row r="2736" ht="12.75">
      <c r="O2736" s="3"/>
    </row>
    <row r="2737" ht="12.75">
      <c r="O2737" s="3"/>
    </row>
    <row r="2738" ht="12.75">
      <c r="O2738" s="3"/>
    </row>
    <row r="2739" ht="12.75">
      <c r="O2739" s="3"/>
    </row>
    <row r="2740" ht="12.75">
      <c r="O2740" s="3"/>
    </row>
    <row r="2741" ht="12.75">
      <c r="O2741" s="3"/>
    </row>
    <row r="2742" ht="12.75">
      <c r="O2742" s="3"/>
    </row>
    <row r="2743" ht="12.75">
      <c r="O2743" s="3"/>
    </row>
    <row r="2744" ht="12.75">
      <c r="O2744" s="3"/>
    </row>
    <row r="2745" ht="12.75">
      <c r="O2745" s="3"/>
    </row>
    <row r="2746" ht="12.75">
      <c r="O2746" s="3"/>
    </row>
    <row r="2747" ht="12.75">
      <c r="O2747" s="3"/>
    </row>
    <row r="2748" ht="12.75">
      <c r="O2748" s="3"/>
    </row>
    <row r="2749" ht="12.75">
      <c r="O2749" s="3"/>
    </row>
    <row r="2750" ht="12.75">
      <c r="O2750" s="3"/>
    </row>
    <row r="2751" ht="12.75">
      <c r="O2751" s="3"/>
    </row>
    <row r="2752" ht="12.75">
      <c r="O2752" s="3"/>
    </row>
    <row r="2753" ht="12.75">
      <c r="O2753" s="3"/>
    </row>
    <row r="2754" ht="12.75">
      <c r="O2754" s="3"/>
    </row>
    <row r="2755" ht="12.75">
      <c r="O2755" s="3"/>
    </row>
    <row r="2756" ht="12.75">
      <c r="O2756" s="3"/>
    </row>
    <row r="2757" ht="12.75">
      <c r="O2757" s="3"/>
    </row>
    <row r="2758" ht="12.75">
      <c r="O2758" s="3"/>
    </row>
    <row r="2759" ht="12.75">
      <c r="O2759" s="3"/>
    </row>
    <row r="2760" ht="12.75">
      <c r="O2760" s="3"/>
    </row>
    <row r="2761" ht="12.75">
      <c r="O2761" s="3"/>
    </row>
    <row r="2762" ht="12.75">
      <c r="O2762" s="3"/>
    </row>
    <row r="2763" ht="12.75">
      <c r="O2763" s="3"/>
    </row>
    <row r="2764" ht="12.75">
      <c r="O2764" s="3"/>
    </row>
    <row r="2765" ht="12.75">
      <c r="O2765" s="3"/>
    </row>
    <row r="2766" ht="12.75">
      <c r="O2766" s="3"/>
    </row>
    <row r="2767" ht="12.75">
      <c r="O2767" s="3"/>
    </row>
    <row r="2768" ht="12.75">
      <c r="O2768" s="3"/>
    </row>
    <row r="2769" ht="12.75">
      <c r="O2769" s="3"/>
    </row>
    <row r="2770" ht="12.75">
      <c r="O2770" s="3"/>
    </row>
    <row r="2771" ht="12.75">
      <c r="O2771" s="3"/>
    </row>
    <row r="2772" ht="12.75">
      <c r="O2772" s="3"/>
    </row>
    <row r="2773" ht="12.75">
      <c r="O2773" s="3"/>
    </row>
    <row r="2774" ht="12.75">
      <c r="O2774" s="3"/>
    </row>
    <row r="2775" ht="12.75">
      <c r="O2775" s="3"/>
    </row>
    <row r="2776" ht="12.75">
      <c r="O2776" s="3"/>
    </row>
    <row r="2777" ht="12.75">
      <c r="O2777" s="3"/>
    </row>
    <row r="2778" ht="12.75">
      <c r="O2778" s="3"/>
    </row>
    <row r="2779" ht="12.75">
      <c r="O2779" s="3"/>
    </row>
    <row r="2780" ht="12.75">
      <c r="O2780" s="3"/>
    </row>
    <row r="2781" ht="12.75">
      <c r="O2781" s="3"/>
    </row>
    <row r="2782" ht="12.75">
      <c r="O2782" s="3"/>
    </row>
    <row r="2783" ht="12.75">
      <c r="O2783" s="3"/>
    </row>
    <row r="2784" ht="12.75">
      <c r="O2784" s="3"/>
    </row>
    <row r="2785" ht="12.75">
      <c r="O2785" s="3"/>
    </row>
    <row r="2786" ht="12.75">
      <c r="O2786" s="3"/>
    </row>
    <row r="2787" ht="12.75">
      <c r="O2787" s="3"/>
    </row>
    <row r="2788" ht="12.75">
      <c r="O2788" s="3"/>
    </row>
    <row r="2789" ht="12.75">
      <c r="O2789" s="3"/>
    </row>
    <row r="2790" ht="12.75">
      <c r="O2790" s="3"/>
    </row>
    <row r="2791" ht="12.75">
      <c r="O2791" s="3"/>
    </row>
    <row r="2792" ht="12.75">
      <c r="O2792" s="3"/>
    </row>
    <row r="2793" ht="12.75">
      <c r="O2793" s="3"/>
    </row>
    <row r="2794" ht="12.75">
      <c r="O2794" s="3"/>
    </row>
    <row r="2795" ht="12.75">
      <c r="O2795" s="3"/>
    </row>
    <row r="2796" ht="12.75">
      <c r="O2796" s="3"/>
    </row>
    <row r="2797" ht="12.75">
      <c r="O2797" s="3"/>
    </row>
    <row r="2798" ht="12.75">
      <c r="O2798" s="3"/>
    </row>
    <row r="2799" ht="12.75">
      <c r="O2799" s="3"/>
    </row>
    <row r="2800" ht="12.75">
      <c r="O2800" s="3"/>
    </row>
    <row r="2801" ht="12.75">
      <c r="O2801" s="3"/>
    </row>
    <row r="2802" ht="12.75">
      <c r="O2802" s="3"/>
    </row>
    <row r="2803" ht="12.75">
      <c r="O2803" s="3"/>
    </row>
    <row r="2804" ht="12.75">
      <c r="O2804" s="3"/>
    </row>
    <row r="2805" ht="12.75">
      <c r="O2805" s="3"/>
    </row>
    <row r="2806" ht="12.75">
      <c r="O2806" s="3"/>
    </row>
    <row r="2807" ht="12.75">
      <c r="O2807" s="3"/>
    </row>
    <row r="2808" ht="12.75">
      <c r="O2808" s="3"/>
    </row>
    <row r="2809" ht="12.75">
      <c r="O2809" s="3"/>
    </row>
    <row r="2810" ht="12.75">
      <c r="O2810" s="3"/>
    </row>
    <row r="2811" ht="12.75">
      <c r="O2811" s="3"/>
    </row>
    <row r="2812" ht="12.75">
      <c r="O2812" s="3"/>
    </row>
    <row r="2813" ht="12.75">
      <c r="O2813" s="3"/>
    </row>
    <row r="2814" ht="12.75">
      <c r="O2814" s="3"/>
    </row>
    <row r="2815" ht="12.75">
      <c r="O2815" s="3"/>
    </row>
    <row r="2816" ht="12.75">
      <c r="O2816" s="3"/>
    </row>
    <row r="2817" ht="12.75">
      <c r="O2817" s="3"/>
    </row>
    <row r="2818" ht="12.75">
      <c r="O2818" s="3"/>
    </row>
    <row r="2819" ht="12.75">
      <c r="O2819" s="3"/>
    </row>
    <row r="2820" ht="12.75">
      <c r="O2820" s="3"/>
    </row>
    <row r="2821" ht="12.75">
      <c r="O2821" s="3"/>
    </row>
    <row r="2822" ht="12.75">
      <c r="O2822" s="3"/>
    </row>
    <row r="2823" ht="12.75">
      <c r="O2823" s="3"/>
    </row>
    <row r="2824" ht="12.75">
      <c r="O2824" s="3"/>
    </row>
    <row r="2825" ht="12.75">
      <c r="O2825" s="3"/>
    </row>
    <row r="2826" ht="12.75">
      <c r="O2826" s="3"/>
    </row>
    <row r="2827" ht="12.75">
      <c r="O2827" s="3"/>
    </row>
    <row r="2828" ht="12.75">
      <c r="O2828" s="3"/>
    </row>
    <row r="2829" ht="12.75">
      <c r="O2829" s="3"/>
    </row>
    <row r="2830" ht="12.75">
      <c r="O2830" s="3"/>
    </row>
    <row r="2831" ht="12.75">
      <c r="O2831" s="3"/>
    </row>
    <row r="2832" ht="12.75">
      <c r="O2832" s="3"/>
    </row>
    <row r="2833" ht="12.75">
      <c r="O2833" s="3"/>
    </row>
    <row r="2834" ht="12.75">
      <c r="O2834" s="3"/>
    </row>
    <row r="2835" ht="12.75">
      <c r="O2835" s="3"/>
    </row>
    <row r="2836" ht="12.75">
      <c r="O2836" s="3"/>
    </row>
    <row r="2837" ht="12.75">
      <c r="O2837" s="3"/>
    </row>
    <row r="2838" ht="12.75">
      <c r="O2838" s="3"/>
    </row>
    <row r="2839" ht="12.75">
      <c r="O2839" s="3"/>
    </row>
    <row r="2840" ht="12.75">
      <c r="O2840" s="3"/>
    </row>
    <row r="2841" ht="12.75">
      <c r="O2841" s="3"/>
    </row>
    <row r="2842" ht="12.75">
      <c r="O2842" s="3"/>
    </row>
    <row r="2843" ht="12.75">
      <c r="O2843" s="3"/>
    </row>
    <row r="2844" ht="12.75">
      <c r="O2844" s="3"/>
    </row>
    <row r="2845" ht="12.75">
      <c r="O2845" s="3"/>
    </row>
    <row r="2846" ht="12.75">
      <c r="O2846" s="3"/>
    </row>
    <row r="2847" ht="12.75">
      <c r="O2847" s="3"/>
    </row>
    <row r="2848" ht="12.75">
      <c r="O2848" s="3"/>
    </row>
    <row r="2849" ht="12.75">
      <c r="O2849" s="3"/>
    </row>
    <row r="2850" ht="12.75">
      <c r="O2850" s="3"/>
    </row>
    <row r="2851" ht="12.75">
      <c r="O2851" s="3"/>
    </row>
    <row r="2852" ht="12.75">
      <c r="O2852" s="3"/>
    </row>
    <row r="2853" ht="12.75">
      <c r="O2853" s="3"/>
    </row>
    <row r="2854" ht="12.75">
      <c r="O2854" s="3"/>
    </row>
    <row r="2855" ht="12.75">
      <c r="O2855" s="3"/>
    </row>
    <row r="2856" ht="12.75">
      <c r="O2856" s="3"/>
    </row>
    <row r="2857" ht="12.75">
      <c r="O2857" s="3"/>
    </row>
    <row r="2858" ht="12.75">
      <c r="O2858" s="3"/>
    </row>
    <row r="2859" ht="12.75">
      <c r="O2859" s="3"/>
    </row>
    <row r="2860" ht="12.75">
      <c r="O2860" s="3"/>
    </row>
    <row r="2861" ht="12.75">
      <c r="O2861" s="3"/>
    </row>
    <row r="2862" ht="12.75">
      <c r="O2862" s="3"/>
    </row>
    <row r="2863" ht="12.75">
      <c r="O2863" s="3"/>
    </row>
    <row r="2864" ht="12.75">
      <c r="O2864" s="3"/>
    </row>
    <row r="2865" ht="12.75">
      <c r="O2865" s="3"/>
    </row>
    <row r="2866" ht="12.75">
      <c r="O2866" s="3"/>
    </row>
    <row r="2867" ht="12.75">
      <c r="O2867" s="3"/>
    </row>
    <row r="2868" ht="12.75">
      <c r="O2868" s="3"/>
    </row>
    <row r="2869" ht="12.75">
      <c r="O2869" s="3"/>
    </row>
    <row r="2870" ht="12.75">
      <c r="O2870" s="3"/>
    </row>
    <row r="2871" ht="12.75">
      <c r="O2871" s="3"/>
    </row>
    <row r="2872" ht="12.75">
      <c r="O2872" s="3"/>
    </row>
    <row r="2873" ht="12.75">
      <c r="O2873" s="3"/>
    </row>
    <row r="2874" ht="12.75">
      <c r="O2874" s="3"/>
    </row>
    <row r="2875" ht="12.75">
      <c r="O2875" s="3"/>
    </row>
    <row r="2876" ht="12.75">
      <c r="O2876" s="3"/>
    </row>
    <row r="2877" ht="12.75">
      <c r="O2877" s="3"/>
    </row>
    <row r="2878" ht="12.75">
      <c r="O2878" s="3"/>
    </row>
    <row r="2879" ht="12.75">
      <c r="O2879" s="3"/>
    </row>
    <row r="2880" ht="12.75">
      <c r="O2880" s="3"/>
    </row>
    <row r="2881" ht="12.75">
      <c r="O2881" s="3"/>
    </row>
    <row r="2882" ht="12.75">
      <c r="O2882" s="3"/>
    </row>
    <row r="2883" ht="12.75">
      <c r="O2883" s="3"/>
    </row>
    <row r="2884" ht="12.75">
      <c r="O2884" s="3"/>
    </row>
    <row r="2885" ht="12.75">
      <c r="O2885" s="3"/>
    </row>
    <row r="2886" ht="12.75">
      <c r="O2886" s="3"/>
    </row>
    <row r="2887" ht="12.75">
      <c r="O2887" s="3"/>
    </row>
    <row r="2888" ht="12.75">
      <c r="O2888" s="3"/>
    </row>
    <row r="2889" ht="12.75">
      <c r="O2889" s="3"/>
    </row>
    <row r="2890" ht="12.75">
      <c r="O2890" s="3"/>
    </row>
    <row r="2891" ht="12.75">
      <c r="O2891" s="3"/>
    </row>
    <row r="2892" ht="12.75">
      <c r="O2892" s="3"/>
    </row>
    <row r="2893" ht="12.75">
      <c r="O2893" s="3"/>
    </row>
    <row r="2894" ht="12.75">
      <c r="O2894" s="3"/>
    </row>
    <row r="2895" ht="12.75">
      <c r="O2895" s="3"/>
    </row>
    <row r="2896" ht="12.75">
      <c r="O2896" s="3"/>
    </row>
    <row r="2897" ht="12.75">
      <c r="O2897" s="3"/>
    </row>
    <row r="2898" ht="12.75">
      <c r="O2898" s="3"/>
    </row>
    <row r="2899" ht="12.75">
      <c r="O2899" s="3"/>
    </row>
    <row r="2900" ht="12.75">
      <c r="O2900" s="3"/>
    </row>
    <row r="2901" ht="12.75">
      <c r="O2901" s="3"/>
    </row>
    <row r="2902" ht="12.75">
      <c r="O2902" s="3"/>
    </row>
    <row r="2903" ht="12.75">
      <c r="O2903" s="3"/>
    </row>
    <row r="2904" ht="12.75">
      <c r="O2904" s="3"/>
    </row>
    <row r="2905" ht="12.75">
      <c r="O2905" s="3"/>
    </row>
    <row r="2906" ht="12.75">
      <c r="O2906" s="3"/>
    </row>
    <row r="2907" ht="12.75">
      <c r="O2907" s="3"/>
    </row>
    <row r="2908" ht="12.75">
      <c r="O2908" s="3"/>
    </row>
    <row r="2909" ht="12.75">
      <c r="O2909" s="3"/>
    </row>
    <row r="2910" ht="12.75">
      <c r="O2910" s="3"/>
    </row>
    <row r="2911" ht="12.75">
      <c r="O2911" s="3"/>
    </row>
    <row r="2912" ht="12.75">
      <c r="O2912" s="3"/>
    </row>
    <row r="2913" ht="12.75">
      <c r="O2913" s="3"/>
    </row>
    <row r="2914" ht="12.75">
      <c r="O2914" s="3"/>
    </row>
    <row r="2915" ht="12.75">
      <c r="O2915" s="3"/>
    </row>
    <row r="2916" ht="12.75">
      <c r="O2916" s="3"/>
    </row>
    <row r="2917" ht="12.75">
      <c r="O2917" s="3"/>
    </row>
    <row r="2918" ht="12.75">
      <c r="O2918" s="3"/>
    </row>
    <row r="2919" ht="12.75">
      <c r="O2919" s="3"/>
    </row>
    <row r="2920" ht="12.75">
      <c r="O2920" s="3"/>
    </row>
    <row r="2921" ht="12.75">
      <c r="O2921" s="3"/>
    </row>
    <row r="2922" ht="12.75">
      <c r="O2922" s="3"/>
    </row>
    <row r="2923" ht="12.75">
      <c r="O2923" s="3"/>
    </row>
    <row r="2924" ht="12.75">
      <c r="O2924" s="3"/>
    </row>
    <row r="2925" ht="12.75">
      <c r="O2925" s="3"/>
    </row>
    <row r="2926" ht="12.75">
      <c r="O2926" s="3"/>
    </row>
    <row r="2927" ht="12.75">
      <c r="O2927" s="3"/>
    </row>
    <row r="2928" ht="12.75">
      <c r="O2928" s="3"/>
    </row>
    <row r="2929" ht="12.75">
      <c r="O2929" s="3"/>
    </row>
    <row r="2930" ht="12.75">
      <c r="O2930" s="3"/>
    </row>
    <row r="2931" ht="12.75">
      <c r="O2931" s="3"/>
    </row>
    <row r="2932" ht="12.75">
      <c r="O2932" s="3"/>
    </row>
    <row r="2933" ht="12.75">
      <c r="O2933" s="3"/>
    </row>
    <row r="2934" ht="12.75">
      <c r="O2934" s="3"/>
    </row>
    <row r="2935" ht="12.75">
      <c r="O2935" s="3"/>
    </row>
    <row r="2936" ht="12.75">
      <c r="O2936" s="3"/>
    </row>
    <row r="2937" ht="12.75">
      <c r="O2937" s="3"/>
    </row>
    <row r="2938" ht="12.75">
      <c r="O2938" s="3"/>
    </row>
    <row r="2939" ht="12.75">
      <c r="O2939" s="3"/>
    </row>
    <row r="2940" ht="12.75">
      <c r="O2940" s="3"/>
    </row>
    <row r="2941" ht="12.75">
      <c r="O2941" s="3"/>
    </row>
    <row r="2942" ht="12.75">
      <c r="O2942" s="3"/>
    </row>
    <row r="2943" ht="12.75">
      <c r="O2943" s="3"/>
    </row>
    <row r="2944" ht="12.75">
      <c r="O2944" s="3"/>
    </row>
    <row r="2945" ht="12.75">
      <c r="O2945" s="3"/>
    </row>
    <row r="2946" ht="12.75">
      <c r="O2946" s="3"/>
    </row>
    <row r="2947" ht="12.75">
      <c r="O2947" s="3"/>
    </row>
    <row r="2948" ht="12.75">
      <c r="O2948" s="3"/>
    </row>
    <row r="2949" ht="12.75">
      <c r="O2949" s="3"/>
    </row>
    <row r="2950" ht="12.75">
      <c r="O2950" s="3"/>
    </row>
    <row r="2951" ht="12.75">
      <c r="O2951" s="3"/>
    </row>
    <row r="2952" ht="12.75">
      <c r="O2952" s="3"/>
    </row>
    <row r="2953" ht="12.75">
      <c r="O2953" s="3"/>
    </row>
    <row r="2954" ht="12.75">
      <c r="O2954" s="3"/>
    </row>
    <row r="2955" ht="12.75">
      <c r="O2955" s="3"/>
    </row>
    <row r="2956" ht="12.75">
      <c r="O2956" s="3"/>
    </row>
    <row r="2957" ht="12.75">
      <c r="O2957" s="3"/>
    </row>
    <row r="2958" ht="12.75">
      <c r="O2958" s="3"/>
    </row>
    <row r="2959" ht="12.75">
      <c r="O2959" s="3"/>
    </row>
    <row r="2960" ht="12.75">
      <c r="O2960" s="3"/>
    </row>
    <row r="2961" ht="12.75">
      <c r="O2961" s="3"/>
    </row>
    <row r="2962" ht="12.75">
      <c r="O2962" s="3"/>
    </row>
    <row r="2963" ht="12.75">
      <c r="O2963" s="3"/>
    </row>
    <row r="2964" ht="12.75">
      <c r="O2964" s="3"/>
    </row>
    <row r="2965" ht="12.75">
      <c r="O2965" s="3"/>
    </row>
    <row r="2966" ht="12.75">
      <c r="O2966" s="3"/>
    </row>
    <row r="2967" ht="12.75">
      <c r="O2967" s="3"/>
    </row>
    <row r="2968" ht="12.75">
      <c r="O2968" s="3"/>
    </row>
    <row r="2969" ht="12.75">
      <c r="O2969" s="3"/>
    </row>
    <row r="2970" ht="12.75">
      <c r="O2970" s="3"/>
    </row>
    <row r="2971" ht="12.75">
      <c r="O2971" s="3"/>
    </row>
    <row r="2972" ht="12.75">
      <c r="O2972" s="3"/>
    </row>
    <row r="2973" ht="12.75">
      <c r="O2973" s="3"/>
    </row>
    <row r="2974" ht="12.75">
      <c r="O2974" s="3"/>
    </row>
    <row r="2975" ht="12.75">
      <c r="O2975" s="3"/>
    </row>
    <row r="2976" ht="12.75">
      <c r="O2976" s="3"/>
    </row>
    <row r="2977" ht="12.75">
      <c r="O2977" s="3"/>
    </row>
    <row r="2978" ht="12.75">
      <c r="O2978" s="3"/>
    </row>
    <row r="2979" ht="12.75">
      <c r="O2979" s="3"/>
    </row>
    <row r="2980" ht="12.75">
      <c r="O2980" s="3"/>
    </row>
    <row r="2981" ht="12.75">
      <c r="O2981" s="3"/>
    </row>
    <row r="2982" ht="12.75">
      <c r="O2982" s="3"/>
    </row>
    <row r="2983" ht="12.75">
      <c r="O2983" s="3"/>
    </row>
    <row r="2984" ht="12.75">
      <c r="O2984" s="3"/>
    </row>
    <row r="2985" ht="12.75">
      <c r="O2985" s="3"/>
    </row>
    <row r="2986" ht="12.75">
      <c r="O2986" s="3"/>
    </row>
    <row r="2987" ht="12.75">
      <c r="O2987" s="3"/>
    </row>
    <row r="2988" ht="12.75">
      <c r="O2988" s="3"/>
    </row>
    <row r="2989" ht="12.75">
      <c r="O2989" s="3"/>
    </row>
    <row r="2990" ht="12.75">
      <c r="O2990" s="3"/>
    </row>
    <row r="2991" ht="12.75">
      <c r="O2991" s="3"/>
    </row>
    <row r="2992" ht="12.75">
      <c r="O2992" s="3"/>
    </row>
    <row r="2993" ht="12.75">
      <c r="O2993" s="3"/>
    </row>
    <row r="2994" ht="12.75">
      <c r="O2994" s="3"/>
    </row>
    <row r="2995" ht="12.75">
      <c r="O2995" s="3"/>
    </row>
    <row r="2996" ht="12.75">
      <c r="O2996" s="3"/>
    </row>
    <row r="2997" ht="12.75">
      <c r="O2997" s="3"/>
    </row>
    <row r="2998" ht="12.75">
      <c r="O2998" s="3"/>
    </row>
    <row r="2999" ht="12.75">
      <c r="O2999" s="3"/>
    </row>
    <row r="3000" ht="12.75">
      <c r="O3000" s="3"/>
    </row>
    <row r="3001" ht="12.75">
      <c r="O3001" s="3"/>
    </row>
    <row r="3002" ht="12.75">
      <c r="O3002" s="3"/>
    </row>
    <row r="3003" ht="12.75">
      <c r="O3003" s="3"/>
    </row>
    <row r="3004" ht="12.75">
      <c r="O3004" s="3"/>
    </row>
    <row r="3005" ht="12.75">
      <c r="O3005" s="3"/>
    </row>
    <row r="3006" ht="12.75">
      <c r="O3006" s="3"/>
    </row>
    <row r="3007" ht="12.75">
      <c r="O3007" s="3"/>
    </row>
    <row r="3008" ht="12.75">
      <c r="O3008" s="3"/>
    </row>
    <row r="3009" ht="12.75">
      <c r="O3009" s="3"/>
    </row>
    <row r="3010" ht="12.75">
      <c r="O3010" s="3"/>
    </row>
    <row r="3011" ht="12.75">
      <c r="O3011" s="3"/>
    </row>
    <row r="3012" ht="12.75">
      <c r="O3012" s="3"/>
    </row>
    <row r="3013" ht="12.75">
      <c r="O3013" s="3"/>
    </row>
    <row r="3014" ht="12.75">
      <c r="O3014" s="3"/>
    </row>
    <row r="3015" ht="12.75">
      <c r="O3015" s="3"/>
    </row>
    <row r="3016" ht="12.75">
      <c r="O3016" s="3"/>
    </row>
    <row r="3017" ht="12.75">
      <c r="O3017" s="3"/>
    </row>
    <row r="3018" ht="12.75">
      <c r="O3018" s="3"/>
    </row>
    <row r="3019" ht="12.75">
      <c r="O3019" s="3"/>
    </row>
    <row r="3020" ht="12.75">
      <c r="O3020" s="3"/>
    </row>
    <row r="3021" ht="12.75">
      <c r="O3021" s="3"/>
    </row>
    <row r="3022" ht="12.75">
      <c r="O3022" s="3"/>
    </row>
    <row r="3023" ht="12.75">
      <c r="O3023" s="3"/>
    </row>
    <row r="3024" ht="12.75">
      <c r="O3024" s="3"/>
    </row>
    <row r="3025" ht="12.75">
      <c r="O3025" s="3"/>
    </row>
    <row r="3026" ht="12.75">
      <c r="O3026" s="3"/>
    </row>
    <row r="3027" ht="12.75">
      <c r="O3027" s="3"/>
    </row>
    <row r="3028" ht="12.75">
      <c r="O3028" s="3"/>
    </row>
    <row r="3029" ht="12.75">
      <c r="O3029" s="3"/>
    </row>
    <row r="3030" ht="12.75">
      <c r="O3030" s="3"/>
    </row>
    <row r="3031" ht="12.75">
      <c r="O3031" s="3"/>
    </row>
    <row r="3032" ht="12.75">
      <c r="O3032" s="3"/>
    </row>
    <row r="3033" ht="12.75">
      <c r="O3033" s="3"/>
    </row>
    <row r="3034" ht="12.75">
      <c r="O3034" s="3"/>
    </row>
    <row r="3035" ht="12.75">
      <c r="O3035" s="3"/>
    </row>
    <row r="3036" ht="12.75">
      <c r="O3036" s="3"/>
    </row>
    <row r="3037" ht="12.75">
      <c r="O3037" s="3"/>
    </row>
    <row r="3038" ht="12.75">
      <c r="O3038" s="3"/>
    </row>
    <row r="3039" ht="12.75">
      <c r="O3039" s="3"/>
    </row>
    <row r="3040" ht="12.75">
      <c r="O3040" s="3"/>
    </row>
    <row r="3041" ht="12.75">
      <c r="O3041" s="3"/>
    </row>
    <row r="3042" ht="12.75">
      <c r="O3042" s="3"/>
    </row>
    <row r="3043" ht="12.75">
      <c r="O3043" s="3"/>
    </row>
    <row r="3044" ht="12.75">
      <c r="O3044" s="3"/>
    </row>
    <row r="3045" ht="12.75">
      <c r="O3045" s="3"/>
    </row>
    <row r="3046" ht="12.75">
      <c r="O3046" s="3"/>
    </row>
    <row r="3047" ht="12.75">
      <c r="O3047" s="3"/>
    </row>
    <row r="3048" ht="12.75">
      <c r="O3048" s="3"/>
    </row>
    <row r="3049" ht="12.75">
      <c r="O3049" s="3"/>
    </row>
    <row r="3050" ht="12.75">
      <c r="O3050" s="3"/>
    </row>
    <row r="3051" ht="12.75">
      <c r="O3051" s="3"/>
    </row>
    <row r="3052" ht="12.75">
      <c r="O3052" s="3"/>
    </row>
    <row r="3053" ht="12.75">
      <c r="O3053" s="3"/>
    </row>
    <row r="3054" ht="12.75">
      <c r="O3054" s="3"/>
    </row>
    <row r="3055" ht="12.75">
      <c r="O3055" s="3"/>
    </row>
    <row r="3056" ht="12.75">
      <c r="O3056" s="3"/>
    </row>
    <row r="3057" ht="12.75">
      <c r="O3057" s="3"/>
    </row>
    <row r="3058" ht="12.75">
      <c r="O3058" s="3"/>
    </row>
    <row r="3059" ht="12.75">
      <c r="O3059" s="3"/>
    </row>
    <row r="3060" ht="12.75">
      <c r="O3060" s="3"/>
    </row>
    <row r="3061" ht="12.75">
      <c r="O3061" s="3"/>
    </row>
    <row r="3062" ht="12.75">
      <c r="O3062" s="3"/>
    </row>
    <row r="3063" ht="12.75">
      <c r="O3063" s="3"/>
    </row>
    <row r="3064" ht="12.75">
      <c r="O3064" s="3"/>
    </row>
    <row r="3065" ht="12.75">
      <c r="O3065" s="3"/>
    </row>
    <row r="3066" ht="12.75">
      <c r="O3066" s="3"/>
    </row>
    <row r="3067" ht="12.75">
      <c r="O3067" s="3"/>
    </row>
    <row r="3068" ht="12.75">
      <c r="O3068" s="3"/>
    </row>
    <row r="3069" ht="12.75">
      <c r="O3069" s="3"/>
    </row>
    <row r="3070" ht="12.75">
      <c r="O3070" s="3"/>
    </row>
    <row r="3071" ht="12.75">
      <c r="O3071" s="3"/>
    </row>
    <row r="3072" ht="12.75">
      <c r="O3072" s="3"/>
    </row>
    <row r="3073" ht="12.75">
      <c r="O3073" s="3"/>
    </row>
    <row r="3074" ht="12.75">
      <c r="O3074" s="3"/>
    </row>
    <row r="3075" ht="12.75">
      <c r="O3075" s="3"/>
    </row>
    <row r="3076" ht="12.75">
      <c r="O3076" s="3"/>
    </row>
    <row r="3077" ht="12.75">
      <c r="O3077" s="3"/>
    </row>
    <row r="3078" ht="12.75">
      <c r="O3078" s="3"/>
    </row>
    <row r="3079" ht="12.75">
      <c r="O3079" s="3"/>
    </row>
    <row r="3080" ht="12.75">
      <c r="O3080" s="3"/>
    </row>
    <row r="3081" ht="12.75">
      <c r="O3081" s="3"/>
    </row>
    <row r="3082" ht="12.75">
      <c r="O3082" s="3"/>
    </row>
    <row r="3083" ht="12.75">
      <c r="O3083" s="3"/>
    </row>
    <row r="3084" ht="12.75">
      <c r="O3084" s="3"/>
    </row>
    <row r="3085" ht="12.75">
      <c r="O3085" s="3"/>
    </row>
    <row r="3086" ht="12.75">
      <c r="O3086" s="3"/>
    </row>
    <row r="3087" ht="12.75">
      <c r="O3087" s="3"/>
    </row>
    <row r="3088" ht="12.75">
      <c r="O3088" s="3"/>
    </row>
    <row r="3089" ht="12.75">
      <c r="O3089" s="3"/>
    </row>
    <row r="3090" ht="12.75">
      <c r="O3090" s="3"/>
    </row>
    <row r="3091" ht="12.75">
      <c r="O3091" s="3"/>
    </row>
    <row r="3092" ht="12.75">
      <c r="O3092" s="3"/>
    </row>
    <row r="3093" ht="12.75">
      <c r="O3093" s="3"/>
    </row>
    <row r="3094" ht="12.75">
      <c r="O3094" s="3"/>
    </row>
    <row r="3095" ht="12.75">
      <c r="O3095" s="3"/>
    </row>
    <row r="3096" ht="12.75">
      <c r="O3096" s="3"/>
    </row>
    <row r="3097" ht="12.75">
      <c r="O3097" s="3"/>
    </row>
    <row r="3098" ht="12.75">
      <c r="O3098" s="3"/>
    </row>
    <row r="3099" ht="12.75">
      <c r="O3099" s="3"/>
    </row>
    <row r="3100" ht="12.75">
      <c r="O3100" s="3"/>
    </row>
    <row r="3101" ht="12.75">
      <c r="O3101" s="3"/>
    </row>
    <row r="3102" ht="12.75">
      <c r="O3102" s="3"/>
    </row>
    <row r="3103" ht="12.75">
      <c r="O3103" s="3"/>
    </row>
    <row r="3104" ht="12.75">
      <c r="O3104" s="3"/>
    </row>
    <row r="3105" ht="12.75">
      <c r="O3105" s="3"/>
    </row>
    <row r="3106" ht="12.75">
      <c r="O3106" s="3"/>
    </row>
    <row r="3107" ht="12.75">
      <c r="O3107" s="3"/>
    </row>
    <row r="3108" ht="12.75">
      <c r="O3108" s="3"/>
    </row>
    <row r="3109" ht="12.75">
      <c r="O3109" s="3"/>
    </row>
    <row r="3110" ht="12.75">
      <c r="O3110" s="3"/>
    </row>
    <row r="3111" ht="12.75">
      <c r="O3111" s="3"/>
    </row>
    <row r="3112" ht="12.75">
      <c r="O3112" s="3"/>
    </row>
    <row r="3113" ht="12.75">
      <c r="O3113" s="3"/>
    </row>
    <row r="3114" ht="12.75">
      <c r="O3114" s="3"/>
    </row>
    <row r="3115" ht="12.75">
      <c r="O3115" s="3"/>
    </row>
    <row r="3116" ht="12.75">
      <c r="O3116" s="3"/>
    </row>
    <row r="3117" ht="12.75">
      <c r="O3117" s="3"/>
    </row>
    <row r="3118" ht="12.75">
      <c r="O3118" s="3"/>
    </row>
    <row r="3119" ht="12.75">
      <c r="O3119" s="3"/>
    </row>
    <row r="3120" ht="12.75">
      <c r="O3120" s="3"/>
    </row>
    <row r="3121" ht="12.75">
      <c r="O3121" s="3"/>
    </row>
    <row r="3122" ht="12.75">
      <c r="O3122" s="3"/>
    </row>
    <row r="3123" ht="12.75">
      <c r="O3123" s="3"/>
    </row>
    <row r="3124" ht="12.75">
      <c r="O3124" s="3"/>
    </row>
    <row r="3125" ht="12.75">
      <c r="O3125" s="3"/>
    </row>
    <row r="3126" ht="12.75">
      <c r="O3126" s="3"/>
    </row>
    <row r="3127" ht="12.75">
      <c r="O3127" s="3"/>
    </row>
    <row r="3128" ht="12.75">
      <c r="O3128" s="3"/>
    </row>
    <row r="3129" ht="12.75">
      <c r="O3129" s="3"/>
    </row>
    <row r="3130" ht="12.75">
      <c r="O3130" s="3"/>
    </row>
    <row r="3131" ht="12.75">
      <c r="O3131" s="3"/>
    </row>
    <row r="3132" ht="12.75">
      <c r="O3132" s="3"/>
    </row>
    <row r="3133" ht="12.75">
      <c r="O3133" s="3"/>
    </row>
    <row r="3134" ht="12.75">
      <c r="O3134" s="3"/>
    </row>
    <row r="3135" ht="12.75">
      <c r="O3135" s="3"/>
    </row>
    <row r="3136" ht="12.75">
      <c r="O3136" s="3"/>
    </row>
    <row r="3137" ht="12.75">
      <c r="O3137" s="3"/>
    </row>
    <row r="3138" ht="12.75">
      <c r="O3138" s="3"/>
    </row>
    <row r="3139" ht="12.75">
      <c r="O3139" s="3"/>
    </row>
    <row r="3140" ht="12.75">
      <c r="O3140" s="3"/>
    </row>
    <row r="3141" ht="12.75">
      <c r="O3141" s="3"/>
    </row>
    <row r="3142" ht="12.75">
      <c r="O3142" s="3"/>
    </row>
    <row r="3143" ht="12.75">
      <c r="O3143" s="3"/>
    </row>
    <row r="3144" ht="12.75">
      <c r="O3144" s="3"/>
    </row>
    <row r="3145" ht="12.75">
      <c r="O3145" s="3"/>
    </row>
    <row r="3146" ht="12.75">
      <c r="O3146" s="3"/>
    </row>
    <row r="3147" ht="12.75">
      <c r="O3147" s="3"/>
    </row>
    <row r="3148" ht="12.75">
      <c r="O3148" s="3"/>
    </row>
    <row r="3149" ht="12.75">
      <c r="O3149" s="3"/>
    </row>
    <row r="3150" ht="12.75">
      <c r="O3150" s="3"/>
    </row>
    <row r="3151" ht="12.75">
      <c r="O3151" s="3"/>
    </row>
    <row r="3152" ht="12.75">
      <c r="O3152" s="3"/>
    </row>
    <row r="3153" ht="12.75">
      <c r="O3153" s="3"/>
    </row>
    <row r="3154" ht="12.75">
      <c r="O3154" s="3"/>
    </row>
    <row r="3155" ht="12.75">
      <c r="O3155" s="3"/>
    </row>
    <row r="3156" ht="12.75">
      <c r="O3156" s="3"/>
    </row>
    <row r="3157" ht="12.75">
      <c r="O3157" s="3"/>
    </row>
    <row r="3158" ht="12.75">
      <c r="O3158" s="3"/>
    </row>
    <row r="3159" ht="12.75">
      <c r="O3159" s="3"/>
    </row>
    <row r="3160" ht="12.75">
      <c r="O3160" s="3"/>
    </row>
    <row r="3161" ht="12.75">
      <c r="O3161" s="3"/>
    </row>
    <row r="3162" ht="12.75">
      <c r="O3162" s="3"/>
    </row>
    <row r="3163" ht="12.75">
      <c r="O3163" s="3"/>
    </row>
    <row r="3164" ht="12.75">
      <c r="O3164" s="3"/>
    </row>
    <row r="3165" ht="12.75">
      <c r="O3165" s="3"/>
    </row>
    <row r="3166" ht="12.75">
      <c r="O3166" s="3"/>
    </row>
    <row r="3167" ht="12.75">
      <c r="O3167" s="3"/>
    </row>
    <row r="3168" ht="12.75">
      <c r="O3168" s="3"/>
    </row>
    <row r="3169" ht="12.75">
      <c r="O3169" s="3"/>
    </row>
    <row r="3170" ht="12.75">
      <c r="O3170" s="3"/>
    </row>
    <row r="3171" ht="12.75">
      <c r="O3171" s="3"/>
    </row>
    <row r="3172" ht="12.75">
      <c r="O3172" s="3"/>
    </row>
    <row r="3173" ht="12.75">
      <c r="O3173" s="3"/>
    </row>
    <row r="3174" ht="12.75">
      <c r="O3174" s="3"/>
    </row>
    <row r="3175" ht="12.75">
      <c r="O3175" s="3"/>
    </row>
    <row r="3176" ht="12.75">
      <c r="O3176" s="3"/>
    </row>
    <row r="3177" ht="12.75">
      <c r="O3177" s="3"/>
    </row>
    <row r="3178" ht="12.75">
      <c r="O3178" s="3"/>
    </row>
    <row r="3179" ht="12.75">
      <c r="O3179" s="3"/>
    </row>
    <row r="3180" ht="12.75">
      <c r="O3180" s="3"/>
    </row>
    <row r="3181" ht="12.75">
      <c r="O3181" s="3"/>
    </row>
    <row r="3182" ht="12.75">
      <c r="O3182" s="3"/>
    </row>
    <row r="3183" ht="12.75">
      <c r="O3183" s="3"/>
    </row>
    <row r="3184" ht="12.75">
      <c r="O3184" s="3"/>
    </row>
    <row r="3185" ht="12.75">
      <c r="O3185" s="3"/>
    </row>
    <row r="3186" ht="12.75">
      <c r="O3186" s="3"/>
    </row>
    <row r="3187" ht="12.75">
      <c r="O3187" s="3"/>
    </row>
    <row r="3188" ht="12.75">
      <c r="O3188" s="3"/>
    </row>
    <row r="3189" ht="12.75">
      <c r="O3189" s="3"/>
    </row>
    <row r="3190" ht="12.75">
      <c r="O3190" s="3"/>
    </row>
    <row r="3191" ht="12.75">
      <c r="O3191" s="3"/>
    </row>
    <row r="3192" ht="12.75">
      <c r="O3192" s="3"/>
    </row>
    <row r="3193" ht="12.75">
      <c r="O3193" s="3"/>
    </row>
    <row r="3194" ht="12.75">
      <c r="O3194" s="3"/>
    </row>
    <row r="3195" ht="12.75">
      <c r="O3195" s="3"/>
    </row>
    <row r="3196" ht="12.75">
      <c r="O3196" s="3"/>
    </row>
    <row r="3197" ht="12.75">
      <c r="O3197" s="3"/>
    </row>
    <row r="3198" ht="12.75">
      <c r="O3198" s="3"/>
    </row>
    <row r="3199" ht="12.75">
      <c r="O3199" s="3"/>
    </row>
    <row r="3200" ht="12.75">
      <c r="O3200" s="3"/>
    </row>
    <row r="3201" ht="12.75">
      <c r="O3201" s="3"/>
    </row>
    <row r="3202" ht="12.75">
      <c r="O3202" s="3"/>
    </row>
    <row r="3203" ht="12.75">
      <c r="O3203" s="3"/>
    </row>
    <row r="3204" ht="12.75">
      <c r="O3204" s="3"/>
    </row>
    <row r="3205" ht="12.75">
      <c r="O3205" s="3"/>
    </row>
    <row r="3206" ht="12.75">
      <c r="O3206" s="3"/>
    </row>
    <row r="3207" ht="12.75">
      <c r="O3207" s="3"/>
    </row>
    <row r="3208" ht="12.75">
      <c r="O3208" s="3"/>
    </row>
    <row r="3209" ht="12.75">
      <c r="O3209" s="3"/>
    </row>
    <row r="3210" ht="12.75">
      <c r="O3210" s="3"/>
    </row>
    <row r="3211" ht="12.75">
      <c r="O3211" s="3"/>
    </row>
    <row r="3212" ht="12.75">
      <c r="O3212" s="3"/>
    </row>
    <row r="3213" ht="12.75">
      <c r="O3213" s="3"/>
    </row>
    <row r="3214" ht="12.75">
      <c r="O3214" s="3"/>
    </row>
    <row r="3215" ht="12.75">
      <c r="O3215" s="3"/>
    </row>
    <row r="3216" ht="12.75">
      <c r="O3216" s="3"/>
    </row>
    <row r="3217" ht="12.75">
      <c r="O3217" s="3"/>
    </row>
    <row r="3218" ht="12.75">
      <c r="O3218" s="3"/>
    </row>
    <row r="3219" ht="12.75">
      <c r="O3219" s="3"/>
    </row>
    <row r="3220" ht="12.75">
      <c r="O3220" s="3"/>
    </row>
    <row r="3221" ht="12.75">
      <c r="O3221" s="3"/>
    </row>
    <row r="3222" ht="12.75">
      <c r="O3222" s="3"/>
    </row>
    <row r="3223" ht="12.75">
      <c r="O3223" s="3"/>
    </row>
    <row r="3224" ht="12.75">
      <c r="O3224" s="3"/>
    </row>
    <row r="3225" ht="12.75">
      <c r="O3225" s="3"/>
    </row>
    <row r="3226" ht="12.75">
      <c r="O3226" s="3"/>
    </row>
    <row r="3227" ht="12.75">
      <c r="O3227" s="3"/>
    </row>
    <row r="3228" ht="12.75">
      <c r="O3228" s="3"/>
    </row>
    <row r="3229" ht="12.75">
      <c r="O3229" s="3"/>
    </row>
    <row r="3230" ht="12.75">
      <c r="O3230" s="3"/>
    </row>
    <row r="3231" ht="12.75">
      <c r="O3231" s="3"/>
    </row>
    <row r="3232" ht="12.75">
      <c r="O3232" s="3"/>
    </row>
    <row r="3233" ht="12.75">
      <c r="O3233" s="3"/>
    </row>
    <row r="3234" ht="12.75">
      <c r="O3234" s="3"/>
    </row>
    <row r="3235" ht="12.75">
      <c r="O3235" s="3"/>
    </row>
    <row r="3236" ht="12.75">
      <c r="O3236" s="3"/>
    </row>
    <row r="3237" ht="12.75">
      <c r="O3237" s="3"/>
    </row>
    <row r="3238" ht="12.75">
      <c r="O3238" s="3"/>
    </row>
    <row r="3239" ht="12.75">
      <c r="O3239" s="3"/>
    </row>
    <row r="3240" ht="12.75">
      <c r="O3240" s="3"/>
    </row>
    <row r="3241" ht="12.75">
      <c r="O3241" s="3"/>
    </row>
    <row r="3242" ht="12.75">
      <c r="O3242" s="3"/>
    </row>
    <row r="3243" ht="12.75">
      <c r="O3243" s="3"/>
    </row>
    <row r="3244" ht="12.75">
      <c r="O3244" s="3"/>
    </row>
    <row r="3245" ht="12.75">
      <c r="O3245" s="3"/>
    </row>
    <row r="3246" ht="12.75">
      <c r="O3246" s="3"/>
    </row>
    <row r="3247" ht="12.75">
      <c r="O3247" s="3"/>
    </row>
    <row r="3248" ht="12.75">
      <c r="O3248" s="3"/>
    </row>
    <row r="3249" ht="12.75">
      <c r="O3249" s="3"/>
    </row>
    <row r="3250" ht="12.75">
      <c r="O3250" s="3"/>
    </row>
    <row r="3251" ht="12.75">
      <c r="O3251" s="3"/>
    </row>
    <row r="3252" ht="12.75">
      <c r="O3252" s="3"/>
    </row>
    <row r="3253" ht="12.75">
      <c r="O3253" s="3"/>
    </row>
    <row r="3254" ht="12.75">
      <c r="O3254" s="3"/>
    </row>
    <row r="3255" ht="12.75">
      <c r="O3255" s="3"/>
    </row>
    <row r="3256" ht="12.75">
      <c r="O3256" s="3"/>
    </row>
    <row r="3257" ht="12.75">
      <c r="O3257" s="3"/>
    </row>
    <row r="3258" ht="12.75">
      <c r="O3258" s="3"/>
    </row>
    <row r="3259" ht="12.75">
      <c r="O3259" s="3"/>
    </row>
    <row r="3260" ht="12.75">
      <c r="O3260" s="3"/>
    </row>
    <row r="3261" ht="12.75">
      <c r="O3261" s="3"/>
    </row>
    <row r="3262" ht="12.75">
      <c r="O3262" s="3"/>
    </row>
    <row r="3263" ht="12.75">
      <c r="O3263" s="3"/>
    </row>
    <row r="3264" ht="12.75">
      <c r="O3264" s="3"/>
    </row>
    <row r="3265" ht="12.75">
      <c r="O3265" s="3"/>
    </row>
    <row r="3266" ht="12.75">
      <c r="O3266" s="3"/>
    </row>
    <row r="3267" ht="12.75">
      <c r="O3267" s="3"/>
    </row>
    <row r="3268" ht="12.75">
      <c r="O3268" s="3"/>
    </row>
    <row r="3269" ht="12.75">
      <c r="O3269" s="3"/>
    </row>
    <row r="3270" ht="12.75">
      <c r="O3270" s="3"/>
    </row>
    <row r="3271" ht="12.75">
      <c r="O3271" s="3"/>
    </row>
    <row r="3272" ht="12.75">
      <c r="O3272" s="3"/>
    </row>
    <row r="3273" ht="12.75">
      <c r="O3273" s="3"/>
    </row>
    <row r="3274" ht="12.75">
      <c r="O3274" s="3"/>
    </row>
    <row r="3275" ht="12.75">
      <c r="O3275" s="3"/>
    </row>
    <row r="3276" ht="12.75">
      <c r="O3276" s="3"/>
    </row>
    <row r="3277" ht="12.75">
      <c r="O3277" s="3"/>
    </row>
    <row r="3278" ht="12.75">
      <c r="O3278" s="3"/>
    </row>
    <row r="3279" ht="12.75">
      <c r="O3279" s="3"/>
    </row>
    <row r="3280" ht="12.75">
      <c r="O3280" s="3"/>
    </row>
    <row r="3281" ht="12.75">
      <c r="O3281" s="3"/>
    </row>
    <row r="3282" ht="12.75">
      <c r="O3282" s="3"/>
    </row>
    <row r="3283" ht="12.75">
      <c r="O3283" s="3"/>
    </row>
    <row r="3284" ht="12.75">
      <c r="O3284" s="3"/>
    </row>
    <row r="3285" ht="12.75">
      <c r="O3285" s="3"/>
    </row>
    <row r="3286" ht="12.75">
      <c r="O3286" s="3"/>
    </row>
    <row r="3287" ht="12.75">
      <c r="O3287" s="3"/>
    </row>
    <row r="3288" ht="12.75">
      <c r="O3288" s="3"/>
    </row>
    <row r="3289" ht="12.75">
      <c r="O3289" s="3"/>
    </row>
    <row r="3290" ht="12.75">
      <c r="O3290" s="3"/>
    </row>
    <row r="3291" ht="12.75">
      <c r="O3291" s="3"/>
    </row>
    <row r="3292" ht="12.75">
      <c r="O3292" s="3"/>
    </row>
    <row r="3293" ht="12.75">
      <c r="O3293" s="3"/>
    </row>
    <row r="3294" ht="12.75">
      <c r="O3294" s="3"/>
    </row>
    <row r="3295" ht="12.75">
      <c r="O3295" s="3"/>
    </row>
    <row r="3296" ht="12.75">
      <c r="O3296" s="3"/>
    </row>
    <row r="3297" ht="12.75">
      <c r="O3297" s="3"/>
    </row>
    <row r="3298" ht="12.75">
      <c r="O3298" s="3"/>
    </row>
    <row r="3299" ht="12.75">
      <c r="O3299" s="3"/>
    </row>
    <row r="3300" ht="12.75">
      <c r="O3300" s="3"/>
    </row>
    <row r="3301" ht="12.75">
      <c r="O3301" s="3"/>
    </row>
    <row r="3302" ht="12.75">
      <c r="O3302" s="3"/>
    </row>
    <row r="3303" ht="12.75">
      <c r="O3303" s="3"/>
    </row>
    <row r="3304" ht="12.75">
      <c r="O3304" s="3"/>
    </row>
    <row r="3305" ht="12.75">
      <c r="O3305" s="3"/>
    </row>
    <row r="3306" ht="12.75">
      <c r="O3306" s="3"/>
    </row>
    <row r="3307" ht="12.75">
      <c r="O3307" s="3"/>
    </row>
    <row r="3308" ht="12.75">
      <c r="O3308" s="3"/>
    </row>
    <row r="3309" ht="12.75">
      <c r="O3309" s="3"/>
    </row>
    <row r="3310" ht="12.75">
      <c r="O3310" s="3"/>
    </row>
    <row r="3311" ht="12.75">
      <c r="O3311" s="3"/>
    </row>
    <row r="3312" ht="12.75">
      <c r="O3312" s="3"/>
    </row>
    <row r="3313" ht="12.75">
      <c r="O3313" s="3"/>
    </row>
    <row r="3314" ht="12.75">
      <c r="O3314" s="3"/>
    </row>
    <row r="3315" ht="12.75">
      <c r="O3315" s="3"/>
    </row>
    <row r="3316" ht="12.75">
      <c r="O3316" s="3"/>
    </row>
    <row r="3317" ht="12.75">
      <c r="O3317" s="3"/>
    </row>
    <row r="3318" ht="12.75">
      <c r="O3318" s="3"/>
    </row>
    <row r="3319" ht="12.75">
      <c r="O3319" s="3"/>
    </row>
    <row r="3320" ht="12.75">
      <c r="O3320" s="3"/>
    </row>
    <row r="3321" ht="12.75">
      <c r="O3321" s="3"/>
    </row>
    <row r="3322" ht="12.75">
      <c r="O3322" s="3"/>
    </row>
    <row r="3323" ht="12.75">
      <c r="O3323" s="3"/>
    </row>
    <row r="3324" ht="12.75">
      <c r="O3324" s="3"/>
    </row>
    <row r="3325" ht="12.75">
      <c r="O3325" s="3"/>
    </row>
    <row r="3326" ht="12.75">
      <c r="O3326" s="3"/>
    </row>
    <row r="3327" ht="12.75">
      <c r="O3327" s="3"/>
    </row>
    <row r="3328" ht="12.75">
      <c r="O3328" s="3"/>
    </row>
    <row r="3329" ht="12.75">
      <c r="O3329" s="3"/>
    </row>
    <row r="3330" ht="12.75">
      <c r="O3330" s="3"/>
    </row>
    <row r="3331" ht="12.75">
      <c r="O3331" s="3"/>
    </row>
    <row r="3332" ht="12.75">
      <c r="O3332" s="3"/>
    </row>
    <row r="3333" ht="12.75">
      <c r="O3333" s="3"/>
    </row>
    <row r="3334" ht="12.75">
      <c r="O3334" s="3"/>
    </row>
    <row r="3335" ht="12.75">
      <c r="O3335" s="3"/>
    </row>
    <row r="3336" ht="12.75">
      <c r="O3336" s="3"/>
    </row>
    <row r="3337" ht="12.75">
      <c r="O3337" s="3"/>
    </row>
    <row r="3338" ht="12.75">
      <c r="O3338" s="3"/>
    </row>
    <row r="3339" ht="12.75">
      <c r="O3339" s="3"/>
    </row>
    <row r="3340" ht="12.75">
      <c r="O3340" s="3"/>
    </row>
    <row r="3341" ht="12.75">
      <c r="O3341" s="3"/>
    </row>
    <row r="3342" ht="12.75">
      <c r="O3342" s="3"/>
    </row>
    <row r="3343" ht="12.75">
      <c r="O3343" s="3"/>
    </row>
    <row r="3344" ht="12.75">
      <c r="O3344" s="3"/>
    </row>
    <row r="3345" ht="12.75">
      <c r="O3345" s="3"/>
    </row>
    <row r="3346" ht="12.75">
      <c r="O3346" s="3"/>
    </row>
    <row r="3347" ht="12.75">
      <c r="O3347" s="3"/>
    </row>
    <row r="3348" ht="12.75">
      <c r="O3348" s="3"/>
    </row>
    <row r="3349" ht="12.75">
      <c r="O3349" s="3"/>
    </row>
    <row r="3350" ht="12.75">
      <c r="O3350" s="3"/>
    </row>
    <row r="3351" ht="12.75">
      <c r="O3351" s="3"/>
    </row>
    <row r="3352" ht="12.75">
      <c r="O3352" s="3"/>
    </row>
    <row r="3353" ht="12.75">
      <c r="O3353" s="3"/>
    </row>
    <row r="3354" ht="12.75">
      <c r="O3354" s="3"/>
    </row>
    <row r="3355" ht="12.75">
      <c r="O3355" s="3"/>
    </row>
    <row r="3356" ht="12.75">
      <c r="O3356" s="3"/>
    </row>
    <row r="3357" ht="12.75">
      <c r="O3357" s="3"/>
    </row>
    <row r="3358" ht="12.75">
      <c r="O3358" s="3"/>
    </row>
    <row r="3359" ht="12.75">
      <c r="O3359" s="3"/>
    </row>
    <row r="3360" ht="12.75">
      <c r="O3360" s="3"/>
    </row>
    <row r="3361" ht="12.75">
      <c r="O3361" s="3"/>
    </row>
    <row r="3362" ht="12.75">
      <c r="O3362" s="3"/>
    </row>
    <row r="3363" ht="12.75">
      <c r="O3363" s="3"/>
    </row>
    <row r="3364" ht="12.75">
      <c r="O3364" s="3"/>
    </row>
    <row r="3365" ht="12.75">
      <c r="O3365" s="3"/>
    </row>
    <row r="3366" ht="12.75">
      <c r="O3366" s="3"/>
    </row>
    <row r="3367" ht="12.75">
      <c r="O3367" s="3"/>
    </row>
    <row r="3368" ht="12.75">
      <c r="O3368" s="3"/>
    </row>
    <row r="3369" ht="12.75">
      <c r="O3369" s="3"/>
    </row>
    <row r="3370" ht="12.75">
      <c r="O3370" s="3"/>
    </row>
    <row r="3371" ht="12.75">
      <c r="O3371" s="3"/>
    </row>
    <row r="3372" ht="12.75">
      <c r="O3372" s="3"/>
    </row>
    <row r="3373" ht="12.75">
      <c r="O3373" s="3"/>
    </row>
    <row r="3374" ht="12.75">
      <c r="O3374" s="3"/>
    </row>
    <row r="3375" ht="12.75">
      <c r="O3375" s="3"/>
    </row>
    <row r="3376" ht="12.75">
      <c r="O3376" s="3"/>
    </row>
    <row r="3377" ht="12.75">
      <c r="O3377" s="3"/>
    </row>
    <row r="3378" ht="12.75">
      <c r="O3378" s="3"/>
    </row>
    <row r="3379" ht="12.75">
      <c r="O3379" s="3"/>
    </row>
    <row r="3380" ht="12.75">
      <c r="O3380" s="3"/>
    </row>
    <row r="3381" ht="12.75">
      <c r="O3381" s="3"/>
    </row>
    <row r="3382" ht="12.75">
      <c r="O3382" s="3"/>
    </row>
    <row r="3383" ht="12.75">
      <c r="O3383" s="3"/>
    </row>
    <row r="3384" ht="12.75">
      <c r="O3384" s="3"/>
    </row>
    <row r="3385" ht="12.75">
      <c r="O3385" s="3"/>
    </row>
    <row r="3386" ht="12.75">
      <c r="O3386" s="3"/>
    </row>
    <row r="3387" ht="12.75">
      <c r="O3387" s="3"/>
    </row>
    <row r="3388" ht="12.75">
      <c r="O3388" s="3"/>
    </row>
    <row r="3389" ht="12.75">
      <c r="O3389" s="3"/>
    </row>
    <row r="3390" ht="12.75">
      <c r="O3390" s="3"/>
    </row>
    <row r="3391" ht="12.75">
      <c r="O3391" s="3"/>
    </row>
    <row r="3392" ht="12.75">
      <c r="O3392" s="3"/>
    </row>
    <row r="3393" ht="12.75">
      <c r="O3393" s="3"/>
    </row>
    <row r="3394" ht="12.75">
      <c r="O3394" s="3"/>
    </row>
    <row r="3395" ht="12.75">
      <c r="O3395" s="3"/>
    </row>
    <row r="3396" ht="12.75">
      <c r="O3396" s="3"/>
    </row>
    <row r="3397" ht="12.75">
      <c r="O3397" s="3"/>
    </row>
    <row r="3398" ht="12.75">
      <c r="O3398" s="3"/>
    </row>
    <row r="3399" ht="12.75">
      <c r="O3399" s="3"/>
    </row>
    <row r="3400" ht="12.75">
      <c r="O3400" s="3"/>
    </row>
    <row r="3401" ht="12.75">
      <c r="O3401" s="3"/>
    </row>
    <row r="3402" ht="12.75">
      <c r="O3402" s="3"/>
    </row>
    <row r="3403" ht="12.75">
      <c r="O3403" s="3"/>
    </row>
    <row r="3404" ht="12.75">
      <c r="O3404" s="3"/>
    </row>
    <row r="3405" ht="12.75">
      <c r="O3405" s="3"/>
    </row>
    <row r="3406" ht="12.75">
      <c r="O3406" s="3"/>
    </row>
    <row r="3407" ht="12.75">
      <c r="O3407" s="3"/>
    </row>
    <row r="3408" ht="12.75">
      <c r="O3408" s="3"/>
    </row>
    <row r="3409" ht="12.75">
      <c r="O3409" s="3"/>
    </row>
    <row r="3410" ht="12.75">
      <c r="O3410" s="3"/>
    </row>
    <row r="3411" ht="12.75">
      <c r="O3411" s="3"/>
    </row>
    <row r="3412" ht="12.75">
      <c r="O3412" s="3"/>
    </row>
    <row r="3413" ht="12.75">
      <c r="O3413" s="3"/>
    </row>
    <row r="3414" ht="12.75">
      <c r="O3414" s="3"/>
    </row>
    <row r="3415" ht="12.75">
      <c r="O3415" s="3"/>
    </row>
    <row r="3416" ht="12.75">
      <c r="O3416" s="3"/>
    </row>
    <row r="3417" ht="12.75">
      <c r="O3417" s="3"/>
    </row>
    <row r="3418" ht="12.75">
      <c r="O3418" s="3"/>
    </row>
    <row r="3419" ht="12.75">
      <c r="O3419" s="3"/>
    </row>
    <row r="3420" ht="12.75">
      <c r="O3420" s="3"/>
    </row>
    <row r="3421" ht="12.75">
      <c r="O3421" s="3"/>
    </row>
    <row r="3422" ht="12.75">
      <c r="O3422" s="3"/>
    </row>
    <row r="3423" ht="12.75">
      <c r="O3423" s="3"/>
    </row>
    <row r="3424" ht="12.75">
      <c r="O3424" s="3"/>
    </row>
    <row r="3425" ht="12.75">
      <c r="O3425" s="3"/>
    </row>
    <row r="3426" ht="12.75">
      <c r="O3426" s="3"/>
    </row>
    <row r="3427" ht="12.75">
      <c r="O3427" s="3"/>
    </row>
    <row r="3428" ht="12.75">
      <c r="O3428" s="3"/>
    </row>
    <row r="3429" ht="12.75">
      <c r="O3429" s="3"/>
    </row>
    <row r="3430" ht="12.75">
      <c r="O3430" s="3"/>
    </row>
    <row r="3431" ht="12.75">
      <c r="O3431" s="3"/>
    </row>
    <row r="3432" ht="12.75">
      <c r="O3432" s="3"/>
    </row>
    <row r="3433" ht="12.75">
      <c r="O3433" s="3"/>
    </row>
    <row r="3434" ht="12.75">
      <c r="O3434" s="3"/>
    </row>
    <row r="3435" ht="12.75">
      <c r="O3435" s="3"/>
    </row>
    <row r="3436" ht="12.75">
      <c r="O3436" s="3"/>
    </row>
    <row r="3437" ht="12.75">
      <c r="O3437" s="3"/>
    </row>
    <row r="3438" ht="12.75">
      <c r="O3438" s="3"/>
    </row>
    <row r="3439" ht="12.75">
      <c r="O3439" s="3"/>
    </row>
    <row r="3440" ht="12.75">
      <c r="O3440" s="3"/>
    </row>
    <row r="3441" ht="12.75">
      <c r="O3441" s="3"/>
    </row>
    <row r="3442" ht="12.75">
      <c r="O3442" s="3"/>
    </row>
    <row r="3443" ht="12.75">
      <c r="O3443" s="3"/>
    </row>
    <row r="3444" ht="12.75">
      <c r="O3444" s="3"/>
    </row>
    <row r="3445" ht="12.75">
      <c r="O3445" s="3"/>
    </row>
    <row r="3446" ht="12.75">
      <c r="O3446" s="3"/>
    </row>
    <row r="3447" ht="12.75">
      <c r="O3447" s="3"/>
    </row>
    <row r="3448" ht="12.75">
      <c r="O3448" s="3"/>
    </row>
    <row r="3449" ht="12.75">
      <c r="O3449" s="3"/>
    </row>
    <row r="3450" ht="12.75">
      <c r="O3450" s="3"/>
    </row>
    <row r="3451" ht="12.75">
      <c r="O3451" s="3"/>
    </row>
    <row r="3452" ht="12.75">
      <c r="O3452" s="3"/>
    </row>
    <row r="3453" ht="12.75">
      <c r="O3453" s="3"/>
    </row>
    <row r="3454" ht="12.75">
      <c r="O3454" s="3"/>
    </row>
    <row r="3455" ht="12.75">
      <c r="O3455" s="3"/>
    </row>
    <row r="3456" ht="12.75">
      <c r="O3456" s="3"/>
    </row>
    <row r="3457" ht="12.75">
      <c r="O3457" s="3"/>
    </row>
    <row r="3458" ht="12.75">
      <c r="O3458" s="3"/>
    </row>
    <row r="3459" ht="12.75">
      <c r="O3459" s="3"/>
    </row>
    <row r="3460" ht="12.75">
      <c r="O3460" s="3"/>
    </row>
    <row r="3461" ht="12.75">
      <c r="O3461" s="3"/>
    </row>
    <row r="3462" ht="12.75">
      <c r="O3462" s="3"/>
    </row>
    <row r="3463" ht="12.75">
      <c r="O3463" s="3"/>
    </row>
    <row r="3464" ht="12.75">
      <c r="O3464" s="3"/>
    </row>
    <row r="3465" ht="12.75">
      <c r="O3465" s="3"/>
    </row>
    <row r="3466" ht="12.75">
      <c r="O3466" s="3"/>
    </row>
    <row r="3467" ht="12.75">
      <c r="O3467" s="3"/>
    </row>
    <row r="3468" ht="12.75">
      <c r="O3468" s="3"/>
    </row>
    <row r="3469" ht="12.75">
      <c r="O3469" s="3"/>
    </row>
    <row r="3470" ht="12.75">
      <c r="O3470" s="3"/>
    </row>
    <row r="3471" ht="12.75">
      <c r="O3471" s="3"/>
    </row>
    <row r="3472" ht="12.75">
      <c r="O3472" s="3"/>
    </row>
    <row r="3473" ht="12.75">
      <c r="O3473" s="3"/>
    </row>
    <row r="3474" ht="12.75">
      <c r="O3474" s="3"/>
    </row>
    <row r="3475" ht="12.75">
      <c r="O3475" s="3"/>
    </row>
    <row r="3476" ht="12.75">
      <c r="O3476" s="3"/>
    </row>
    <row r="3477" ht="12.75">
      <c r="O3477" s="3"/>
    </row>
    <row r="3478" ht="12.75">
      <c r="O3478" s="3"/>
    </row>
    <row r="3479" ht="12.75">
      <c r="O3479" s="3"/>
    </row>
    <row r="3480" ht="12.75">
      <c r="O3480" s="3"/>
    </row>
    <row r="3481" ht="12.75">
      <c r="O3481" s="3"/>
    </row>
    <row r="3482" ht="12.75">
      <c r="O3482" s="3"/>
    </row>
    <row r="3483" ht="12.75">
      <c r="O3483" s="3"/>
    </row>
    <row r="3484" ht="12.75">
      <c r="O3484" s="3"/>
    </row>
    <row r="3485" ht="12.75">
      <c r="O3485" s="3"/>
    </row>
    <row r="3486" ht="12.75">
      <c r="O3486" s="3"/>
    </row>
    <row r="3487" ht="12.75">
      <c r="O3487" s="3"/>
    </row>
    <row r="3488" ht="12.75">
      <c r="O3488" s="3"/>
    </row>
    <row r="3489" ht="12.75">
      <c r="O3489" s="3"/>
    </row>
    <row r="3490" ht="12.75">
      <c r="O3490" s="3"/>
    </row>
    <row r="3491" ht="12.75">
      <c r="O3491" s="3"/>
    </row>
    <row r="3492" ht="12.75">
      <c r="O3492" s="3"/>
    </row>
    <row r="3493" ht="12.75">
      <c r="O3493" s="3"/>
    </row>
    <row r="3494" ht="12.75">
      <c r="O3494" s="3"/>
    </row>
    <row r="3495" ht="12.75">
      <c r="O3495" s="3"/>
    </row>
    <row r="3496" ht="12.75">
      <c r="O3496" s="3"/>
    </row>
    <row r="3497" ht="12.75">
      <c r="O3497" s="3"/>
    </row>
    <row r="3498" ht="12.75">
      <c r="O3498" s="3"/>
    </row>
    <row r="3499" ht="12.75">
      <c r="O3499" s="3"/>
    </row>
    <row r="3500" ht="12.75">
      <c r="O3500" s="3"/>
    </row>
    <row r="3501" ht="12.75">
      <c r="O3501" s="3"/>
    </row>
    <row r="3502" ht="12.75">
      <c r="O3502" s="3"/>
    </row>
    <row r="3503" ht="12.75">
      <c r="O3503" s="3"/>
    </row>
    <row r="3504" ht="12.75">
      <c r="O3504" s="3"/>
    </row>
    <row r="3505" ht="12.75">
      <c r="O3505" s="3"/>
    </row>
    <row r="3506" ht="12.75">
      <c r="O3506" s="3"/>
    </row>
    <row r="3507" ht="12.75">
      <c r="O3507" s="3"/>
    </row>
    <row r="3508" ht="12.75">
      <c r="O3508" s="3"/>
    </row>
    <row r="3509" ht="12.75">
      <c r="O3509" s="3"/>
    </row>
    <row r="3510" ht="12.75">
      <c r="O3510" s="3"/>
    </row>
    <row r="3511" ht="12.75">
      <c r="O3511" s="3"/>
    </row>
    <row r="3512" ht="12.75">
      <c r="O3512" s="3"/>
    </row>
    <row r="3513" ht="12.75">
      <c r="O3513" s="3"/>
    </row>
    <row r="3514" ht="12.75">
      <c r="O3514" s="3"/>
    </row>
    <row r="3515" ht="12.75">
      <c r="O3515" s="3"/>
    </row>
    <row r="3516" ht="12.75">
      <c r="O3516" s="3"/>
    </row>
    <row r="3517" ht="12.75">
      <c r="O3517" s="3"/>
    </row>
    <row r="3518" ht="12.75">
      <c r="O3518" s="3"/>
    </row>
    <row r="3519" ht="12.75">
      <c r="O3519" s="3"/>
    </row>
    <row r="3520" ht="12.75">
      <c r="O3520" s="3"/>
    </row>
    <row r="3521" ht="12.75">
      <c r="O3521" s="3"/>
    </row>
    <row r="3522" ht="12.75">
      <c r="O3522" s="3"/>
    </row>
    <row r="3523" ht="12.75">
      <c r="O3523" s="3"/>
    </row>
    <row r="3524" ht="12.75">
      <c r="O3524" s="3"/>
    </row>
    <row r="3525" ht="12.75">
      <c r="O3525" s="3"/>
    </row>
    <row r="3526" ht="12.75">
      <c r="O3526" s="3"/>
    </row>
    <row r="3527" ht="12.75">
      <c r="O3527" s="3"/>
    </row>
    <row r="3528" ht="12.75">
      <c r="O3528" s="3"/>
    </row>
    <row r="3529" ht="12.75">
      <c r="O3529" s="3"/>
    </row>
    <row r="3530" ht="12.75">
      <c r="O3530" s="3"/>
    </row>
    <row r="3531" ht="12.75">
      <c r="O3531" s="3"/>
    </row>
    <row r="3532" ht="12.75">
      <c r="O3532" s="3"/>
    </row>
    <row r="3533" ht="12.75">
      <c r="O3533" s="3"/>
    </row>
    <row r="3534" ht="12.75">
      <c r="O3534" s="3"/>
    </row>
    <row r="3535" ht="12.75">
      <c r="O3535" s="3"/>
    </row>
    <row r="3536" ht="12.75">
      <c r="O3536" s="3"/>
    </row>
    <row r="3537" ht="12.75">
      <c r="O3537" s="3"/>
    </row>
    <row r="3538" ht="12.75">
      <c r="O3538" s="3"/>
    </row>
    <row r="3539" ht="12.75">
      <c r="O3539" s="3"/>
    </row>
    <row r="3540" ht="12.75">
      <c r="O3540" s="3"/>
    </row>
    <row r="3541" ht="12.75">
      <c r="O3541" s="3"/>
    </row>
    <row r="3542" ht="12.75">
      <c r="O3542" s="3"/>
    </row>
    <row r="3543" ht="12.75">
      <c r="O3543" s="3"/>
    </row>
    <row r="3544" ht="12.75">
      <c r="O3544" s="3"/>
    </row>
    <row r="3545" ht="12.75">
      <c r="O3545" s="3"/>
    </row>
    <row r="3546" ht="12.75">
      <c r="O3546" s="3"/>
    </row>
    <row r="3547" ht="12.75">
      <c r="O3547" s="3"/>
    </row>
    <row r="3548" ht="12.75">
      <c r="O3548" s="3"/>
    </row>
    <row r="3549" ht="12.75">
      <c r="O3549" s="3"/>
    </row>
    <row r="3550" ht="12.75">
      <c r="O3550" s="3"/>
    </row>
    <row r="3551" ht="12.75">
      <c r="O3551" s="3"/>
    </row>
    <row r="3552" ht="12.75">
      <c r="O3552" s="3"/>
    </row>
    <row r="3553" ht="12.75">
      <c r="O3553" s="3"/>
    </row>
    <row r="3554" ht="12.75">
      <c r="O3554" s="3"/>
    </row>
    <row r="3555" ht="12.75">
      <c r="O3555" s="3"/>
    </row>
    <row r="3556" ht="12.75">
      <c r="O3556" s="3"/>
    </row>
    <row r="3557" ht="12.75">
      <c r="O3557" s="3"/>
    </row>
    <row r="3558" ht="12.75">
      <c r="O3558" s="3"/>
    </row>
    <row r="3559" ht="12.75">
      <c r="O3559" s="3"/>
    </row>
    <row r="3560" ht="12.75">
      <c r="O3560" s="3"/>
    </row>
    <row r="3561" ht="12.75">
      <c r="O3561" s="3"/>
    </row>
    <row r="3562" ht="12.75">
      <c r="O3562" s="3"/>
    </row>
    <row r="3563" ht="12.75">
      <c r="O3563" s="3"/>
    </row>
    <row r="3564" ht="12.75">
      <c r="O3564" s="3"/>
    </row>
    <row r="3565" ht="12.75">
      <c r="O3565" s="3"/>
    </row>
    <row r="3566" ht="12.75">
      <c r="O3566" s="3"/>
    </row>
    <row r="3567" ht="12.75">
      <c r="O3567" s="3"/>
    </row>
    <row r="3568" ht="12.75">
      <c r="O3568" s="3"/>
    </row>
    <row r="3569" ht="12.75">
      <c r="O3569" s="3"/>
    </row>
    <row r="3570" ht="12.75">
      <c r="O3570" s="3"/>
    </row>
    <row r="3571" ht="12.75">
      <c r="O3571" s="3"/>
    </row>
    <row r="3572" ht="12.75">
      <c r="O3572" s="3"/>
    </row>
    <row r="3573" ht="12.75">
      <c r="O3573" s="3"/>
    </row>
    <row r="3574" ht="12.75">
      <c r="O3574" s="3"/>
    </row>
    <row r="3575" ht="12.75">
      <c r="O3575" s="3"/>
    </row>
    <row r="3576" ht="12.75">
      <c r="O3576" s="3"/>
    </row>
    <row r="3577" ht="12.75">
      <c r="O3577" s="3"/>
    </row>
    <row r="3578" ht="12.75">
      <c r="O3578" s="3"/>
    </row>
    <row r="3579" ht="12.75">
      <c r="O3579" s="3"/>
    </row>
    <row r="3580" ht="12.75">
      <c r="O3580" s="3"/>
    </row>
    <row r="3581" ht="12.75">
      <c r="O3581" s="3"/>
    </row>
    <row r="3582" ht="12.75">
      <c r="O3582" s="3"/>
    </row>
    <row r="3583" ht="12.75">
      <c r="O3583" s="3"/>
    </row>
    <row r="3584" ht="12.75">
      <c r="O3584" s="3"/>
    </row>
    <row r="3585" ht="12.75">
      <c r="O3585" s="3"/>
    </row>
    <row r="3586" ht="12.75">
      <c r="O3586" s="3"/>
    </row>
    <row r="3587" ht="12.75">
      <c r="O3587" s="3"/>
    </row>
    <row r="3588" ht="12.75">
      <c r="O3588" s="3"/>
    </row>
    <row r="3589" ht="12.75">
      <c r="O3589" s="3"/>
    </row>
    <row r="3590" ht="12.75">
      <c r="O3590" s="3"/>
    </row>
    <row r="3591" ht="12.75">
      <c r="O3591" s="3"/>
    </row>
    <row r="3592" ht="12.75">
      <c r="O3592" s="3"/>
    </row>
    <row r="3593" ht="12.75">
      <c r="O3593" s="3"/>
    </row>
    <row r="3594" ht="12.75">
      <c r="O3594" s="3"/>
    </row>
    <row r="3595" ht="12.75">
      <c r="O3595" s="3"/>
    </row>
    <row r="3596" ht="12.75">
      <c r="O3596" s="3"/>
    </row>
    <row r="3597" ht="12.75">
      <c r="O3597" s="3"/>
    </row>
    <row r="3598" ht="12.75">
      <c r="O3598" s="3"/>
    </row>
    <row r="3599" ht="12.75">
      <c r="O3599" s="3"/>
    </row>
    <row r="3600" ht="12.75">
      <c r="O3600" s="3"/>
    </row>
    <row r="3601" ht="12.75">
      <c r="O3601" s="3"/>
    </row>
    <row r="3602" ht="12.75">
      <c r="O3602" s="3"/>
    </row>
    <row r="3603" ht="12.75">
      <c r="O3603" s="3"/>
    </row>
    <row r="3604" ht="12.75">
      <c r="O3604" s="3"/>
    </row>
    <row r="3605" ht="12.75">
      <c r="O3605" s="3"/>
    </row>
    <row r="3606" ht="12.75">
      <c r="O3606" s="3"/>
    </row>
    <row r="3607" ht="12.75">
      <c r="O3607" s="3"/>
    </row>
    <row r="3608" ht="12.75">
      <c r="O3608" s="3"/>
    </row>
    <row r="3609" ht="12.75">
      <c r="O3609" s="3"/>
    </row>
    <row r="3610" ht="12.75">
      <c r="O3610" s="3"/>
    </row>
    <row r="3611" ht="12.75">
      <c r="O3611" s="3"/>
    </row>
    <row r="3612" ht="12.75">
      <c r="O3612" s="3"/>
    </row>
    <row r="3613" ht="12.75">
      <c r="O3613" s="3"/>
    </row>
    <row r="3614" ht="12.75">
      <c r="O3614" s="3"/>
    </row>
    <row r="3615" ht="12.75">
      <c r="O3615" s="3"/>
    </row>
    <row r="3616" ht="12.75">
      <c r="O3616" s="3"/>
    </row>
    <row r="3617" ht="12.75">
      <c r="O3617" s="3"/>
    </row>
    <row r="3618" ht="12.75">
      <c r="O3618" s="3"/>
    </row>
    <row r="3619" ht="12.75">
      <c r="O3619" s="3"/>
    </row>
    <row r="3620" ht="12.75">
      <c r="O3620" s="3"/>
    </row>
    <row r="3621" ht="12.75">
      <c r="O3621" s="3"/>
    </row>
    <row r="3622" ht="12.75">
      <c r="O3622" s="3"/>
    </row>
    <row r="3623" ht="12.75">
      <c r="O3623" s="3"/>
    </row>
    <row r="3624" ht="12.75">
      <c r="O3624" s="3"/>
    </row>
    <row r="3625" ht="12.75">
      <c r="O3625" s="3"/>
    </row>
    <row r="3626" ht="12.75">
      <c r="O3626" s="3"/>
    </row>
    <row r="3627" ht="12.75">
      <c r="O3627" s="3"/>
    </row>
    <row r="3628" ht="12.75">
      <c r="O3628" s="3"/>
    </row>
    <row r="3629" ht="12.75">
      <c r="O3629" s="3"/>
    </row>
    <row r="3630" ht="12.75">
      <c r="O3630" s="3"/>
    </row>
    <row r="3631" ht="12.75">
      <c r="O3631" s="3"/>
    </row>
    <row r="3632" ht="12.75">
      <c r="O3632" s="3"/>
    </row>
    <row r="3633" ht="12.75">
      <c r="O3633" s="3"/>
    </row>
    <row r="3634" ht="12.75">
      <c r="O3634" s="3"/>
    </row>
    <row r="3635" ht="12.75">
      <c r="O3635" s="3"/>
    </row>
    <row r="3636" ht="12.75">
      <c r="O3636" s="3"/>
    </row>
    <row r="3637" ht="12.75">
      <c r="O3637" s="3"/>
    </row>
    <row r="3638" ht="12.75">
      <c r="O3638" s="3"/>
    </row>
    <row r="3639" ht="12.75">
      <c r="O3639" s="3"/>
    </row>
    <row r="3640" ht="12.75">
      <c r="O3640" s="3"/>
    </row>
    <row r="3641" ht="12.75">
      <c r="O3641" s="3"/>
    </row>
    <row r="3642" ht="12.75">
      <c r="O3642" s="3"/>
    </row>
    <row r="3643" ht="12.75">
      <c r="O3643" s="3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48"/>
  <sheetViews>
    <sheetView zoomScale="75" zoomScaleNormal="75" workbookViewId="0" topLeftCell="BA605">
      <selection activeCell="BD651" sqref="BD651"/>
    </sheetView>
  </sheetViews>
  <sheetFormatPr defaultColWidth="9.140625" defaultRowHeight="12.75"/>
  <cols>
    <col min="1" max="1" width="9.140625" style="25" customWidth="1"/>
    <col min="2" max="2" width="25.00390625" style="25" customWidth="1"/>
    <col min="3" max="3" width="10.8515625" style="25" customWidth="1"/>
    <col min="4" max="4" width="10.57421875" style="25" customWidth="1"/>
    <col min="5" max="5" width="11.00390625" style="25" customWidth="1"/>
    <col min="6" max="6" width="8.421875" style="25" customWidth="1"/>
    <col min="7" max="7" width="8.421875" style="26" customWidth="1"/>
    <col min="8" max="8" width="9.140625" style="25" customWidth="1"/>
    <col min="9" max="9" width="13.8515625" style="25" customWidth="1"/>
    <col min="10" max="14" width="9.140625" style="25" customWidth="1"/>
    <col min="15" max="15" width="9.28125" style="25" bestFit="1" customWidth="1"/>
    <col min="16" max="16" width="9.28125" style="26" bestFit="1" customWidth="1"/>
    <col min="17" max="17" width="9.140625" style="25" customWidth="1"/>
    <col min="18" max="18" width="7.8515625" style="25" customWidth="1"/>
    <col min="19" max="19" width="9.7109375" style="25" customWidth="1"/>
    <col min="20" max="20" width="10.7109375" style="25" customWidth="1"/>
    <col min="21" max="22" width="9.7109375" style="25" customWidth="1"/>
    <col min="23" max="23" width="10.421875" style="25" bestFit="1" customWidth="1"/>
    <col min="24" max="24" width="9.421875" style="25" customWidth="1"/>
    <col min="25" max="25" width="11.00390625" style="137" customWidth="1"/>
    <col min="26" max="27" width="9.140625" style="25" customWidth="1"/>
    <col min="28" max="28" width="10.140625" style="25" bestFit="1" customWidth="1"/>
    <col min="29" max="32" width="9.421875" style="25" bestFit="1" customWidth="1"/>
    <col min="33" max="33" width="9.57421875" style="25" bestFit="1" customWidth="1"/>
    <col min="34" max="34" width="9.57421875" style="133" bestFit="1" customWidth="1"/>
    <col min="35" max="35" width="9.140625" style="133" customWidth="1"/>
    <col min="36" max="36" width="7.57421875" style="133" customWidth="1"/>
    <col min="37" max="37" width="12.57421875" style="133" customWidth="1"/>
    <col min="38" max="43" width="9.57421875" style="133" bestFit="1" customWidth="1"/>
    <col min="44" max="45" width="9.140625" style="25" customWidth="1"/>
    <col min="46" max="46" width="9.421875" style="25" bestFit="1" customWidth="1"/>
    <col min="47" max="47" width="10.140625" style="25" bestFit="1" customWidth="1"/>
    <col min="48" max="51" width="9.28125" style="25" bestFit="1" customWidth="1"/>
    <col min="52" max="52" width="9.28125" style="133" bestFit="1" customWidth="1"/>
    <col min="53" max="53" width="9.140625" style="133" customWidth="1"/>
    <col min="54" max="54" width="8.28125" style="133" customWidth="1"/>
    <col min="55" max="55" width="10.8515625" style="133" customWidth="1"/>
    <col min="56" max="57" width="10.421875" style="133" customWidth="1"/>
    <col min="58" max="58" width="10.57421875" style="133" customWidth="1"/>
    <col min="59" max="60" width="9.140625" style="133" customWidth="1"/>
    <col min="61" max="61" width="10.00390625" style="133" customWidth="1"/>
    <col min="62" max="16384" width="9.140625" style="25" customWidth="1"/>
  </cols>
  <sheetData>
    <row r="1" spans="1:61" s="22" customFormat="1" ht="12">
      <c r="A1" s="22" t="s">
        <v>66</v>
      </c>
      <c r="G1" s="23"/>
      <c r="H1" s="22" t="s">
        <v>67</v>
      </c>
      <c r="P1" s="23"/>
      <c r="Q1" s="22" t="s">
        <v>115</v>
      </c>
      <c r="Y1" s="136"/>
      <c r="Z1" s="23" t="s">
        <v>132</v>
      </c>
      <c r="AA1" s="23"/>
      <c r="AB1" s="23"/>
      <c r="AC1" s="23"/>
      <c r="AD1" s="23"/>
      <c r="AE1" s="23"/>
      <c r="AF1" s="23"/>
      <c r="AG1" s="23"/>
      <c r="AH1" s="136"/>
      <c r="AI1" s="23" t="s">
        <v>132</v>
      </c>
      <c r="AJ1" s="23"/>
      <c r="AK1" s="23"/>
      <c r="AL1" s="23"/>
      <c r="AM1" s="23"/>
      <c r="AN1" s="23"/>
      <c r="AO1" s="23"/>
      <c r="AP1" s="23"/>
      <c r="AQ1" s="136"/>
      <c r="AR1" s="23" t="s">
        <v>148</v>
      </c>
      <c r="AS1" s="23"/>
      <c r="AT1" s="23"/>
      <c r="AU1" s="23"/>
      <c r="AV1" s="23"/>
      <c r="AW1" s="23"/>
      <c r="AX1" s="23"/>
      <c r="AY1" s="23"/>
      <c r="AZ1" s="136"/>
      <c r="BA1" s="139"/>
      <c r="BB1" s="139"/>
      <c r="BC1" s="139"/>
      <c r="BD1" s="139"/>
      <c r="BE1" s="139"/>
      <c r="BF1" s="139"/>
      <c r="BG1" s="139"/>
      <c r="BH1" s="139"/>
      <c r="BI1" s="139"/>
    </row>
    <row r="2" spans="34:52" ht="12">
      <c r="AH2" s="137"/>
      <c r="AI2" s="22" t="s">
        <v>220</v>
      </c>
      <c r="AJ2" s="25"/>
      <c r="AK2" s="25"/>
      <c r="AL2" s="25"/>
      <c r="AM2" s="25"/>
      <c r="AN2" s="25"/>
      <c r="AO2" s="25"/>
      <c r="AP2" s="25"/>
      <c r="AQ2" s="137"/>
      <c r="AZ2" s="137"/>
    </row>
    <row r="3" spans="1:52" ht="12">
      <c r="A3" s="25" t="s">
        <v>22</v>
      </c>
      <c r="H3" s="25" t="s">
        <v>22</v>
      </c>
      <c r="Q3" s="25" t="s">
        <v>22</v>
      </c>
      <c r="Z3" s="25" t="s">
        <v>22</v>
      </c>
      <c r="AH3" s="137"/>
      <c r="AI3" s="25" t="s">
        <v>22</v>
      </c>
      <c r="AJ3" s="25"/>
      <c r="AK3" s="25"/>
      <c r="AL3" s="25"/>
      <c r="AM3" s="25"/>
      <c r="AN3" s="25"/>
      <c r="AO3" s="25"/>
      <c r="AP3" s="25"/>
      <c r="AQ3" s="137"/>
      <c r="AR3" s="25" t="s">
        <v>22</v>
      </c>
      <c r="AZ3" s="137"/>
    </row>
    <row r="4" spans="1:52" ht="12">
      <c r="A4" s="25" t="s">
        <v>51</v>
      </c>
      <c r="H4" s="25" t="s">
        <v>106</v>
      </c>
      <c r="Q4" s="25" t="s">
        <v>114</v>
      </c>
      <c r="Z4" s="25" t="s">
        <v>114</v>
      </c>
      <c r="AH4" s="137"/>
      <c r="AI4" s="25" t="s">
        <v>114</v>
      </c>
      <c r="AJ4" s="25"/>
      <c r="AK4" s="25"/>
      <c r="AL4" s="25"/>
      <c r="AM4" s="25"/>
      <c r="AN4" s="25"/>
      <c r="AO4" s="25"/>
      <c r="AP4" s="25"/>
      <c r="AQ4" s="137"/>
      <c r="AR4" s="25" t="s">
        <v>114</v>
      </c>
      <c r="AZ4" s="137"/>
    </row>
    <row r="5" spans="1:52" ht="12">
      <c r="A5" s="25" t="s">
        <v>52</v>
      </c>
      <c r="H5" s="25" t="s">
        <v>52</v>
      </c>
      <c r="Q5" s="25" t="s">
        <v>52</v>
      </c>
      <c r="Z5" s="25" t="s">
        <v>52</v>
      </c>
      <c r="AH5" s="137"/>
      <c r="AI5" s="25" t="s">
        <v>52</v>
      </c>
      <c r="AJ5" s="25"/>
      <c r="AK5" s="25"/>
      <c r="AL5" s="25"/>
      <c r="AM5" s="25"/>
      <c r="AN5" s="25"/>
      <c r="AO5" s="25"/>
      <c r="AP5" s="25"/>
      <c r="AQ5" s="137"/>
      <c r="AR5" s="25" t="s">
        <v>52</v>
      </c>
      <c r="AZ5" s="137"/>
    </row>
    <row r="6" spans="34:52" ht="12">
      <c r="AH6" s="137"/>
      <c r="AI6" s="25"/>
      <c r="AJ6" s="25"/>
      <c r="AK6" s="25"/>
      <c r="AL6" s="25"/>
      <c r="AM6" s="25"/>
      <c r="AN6" s="25"/>
      <c r="AO6" s="25"/>
      <c r="AP6" s="25"/>
      <c r="AQ6" s="137"/>
      <c r="AZ6" s="137"/>
    </row>
    <row r="7" spans="3:52" ht="12">
      <c r="C7" s="28" t="s">
        <v>25</v>
      </c>
      <c r="D7" s="28" t="s">
        <v>25</v>
      </c>
      <c r="E7" s="28" t="s">
        <v>25</v>
      </c>
      <c r="F7" s="28" t="s">
        <v>25</v>
      </c>
      <c r="G7" s="29" t="s">
        <v>25</v>
      </c>
      <c r="K7" s="28" t="s">
        <v>25</v>
      </c>
      <c r="L7" s="28" t="s">
        <v>25</v>
      </c>
      <c r="M7" s="28" t="s">
        <v>25</v>
      </c>
      <c r="N7" s="28" t="s">
        <v>25</v>
      </c>
      <c r="O7" s="28" t="s">
        <v>25</v>
      </c>
      <c r="P7" s="29"/>
      <c r="T7" s="28" t="s">
        <v>25</v>
      </c>
      <c r="U7" s="28" t="s">
        <v>25</v>
      </c>
      <c r="V7" s="28" t="s">
        <v>25</v>
      </c>
      <c r="W7" s="28" t="s">
        <v>25</v>
      </c>
      <c r="X7" s="28" t="s">
        <v>25</v>
      </c>
      <c r="AC7" s="28" t="s">
        <v>25</v>
      </c>
      <c r="AD7" s="28" t="s">
        <v>25</v>
      </c>
      <c r="AE7" s="28" t="s">
        <v>25</v>
      </c>
      <c r="AF7" s="28" t="s">
        <v>25</v>
      </c>
      <c r="AG7" s="28" t="s">
        <v>25</v>
      </c>
      <c r="AH7" s="138"/>
      <c r="AI7" s="25"/>
      <c r="AJ7" s="25"/>
      <c r="AK7" s="25"/>
      <c r="AL7" s="28" t="s">
        <v>25</v>
      </c>
      <c r="AM7" s="28" t="s">
        <v>25</v>
      </c>
      <c r="AN7" s="28" t="s">
        <v>25</v>
      </c>
      <c r="AO7" s="28" t="s">
        <v>25</v>
      </c>
      <c r="AP7" s="28" t="s">
        <v>25</v>
      </c>
      <c r="AQ7" s="138"/>
      <c r="AU7" s="28" t="s">
        <v>25</v>
      </c>
      <c r="AV7" s="28" t="s">
        <v>25</v>
      </c>
      <c r="AW7" s="28" t="s">
        <v>25</v>
      </c>
      <c r="AX7" s="28" t="s">
        <v>25</v>
      </c>
      <c r="AY7" s="28" t="s">
        <v>25</v>
      </c>
      <c r="AZ7" s="138"/>
    </row>
    <row r="8" spans="3:52" ht="12">
      <c r="C8" s="28">
        <v>2006</v>
      </c>
      <c r="D8" s="28">
        <v>2005</v>
      </c>
      <c r="E8" s="28">
        <v>2004</v>
      </c>
      <c r="F8" s="28">
        <v>2003</v>
      </c>
      <c r="G8" s="29">
        <v>2002</v>
      </c>
      <c r="K8" s="28">
        <v>2006</v>
      </c>
      <c r="L8" s="28">
        <v>2005</v>
      </c>
      <c r="M8" s="28">
        <v>2004</v>
      </c>
      <c r="N8" s="28">
        <v>2003</v>
      </c>
      <c r="O8" s="28">
        <v>2002</v>
      </c>
      <c r="P8" s="29"/>
      <c r="T8" s="28">
        <v>2006</v>
      </c>
      <c r="U8" s="28">
        <v>2005</v>
      </c>
      <c r="V8" s="28">
        <v>2004</v>
      </c>
      <c r="W8" s="28">
        <v>2003</v>
      </c>
      <c r="X8" s="28">
        <v>2002</v>
      </c>
      <c r="Y8" s="138" t="s">
        <v>117</v>
      </c>
      <c r="AC8" s="28">
        <v>2006</v>
      </c>
      <c r="AD8" s="28">
        <v>2005</v>
      </c>
      <c r="AE8" s="28">
        <v>2004</v>
      </c>
      <c r="AF8" s="28">
        <v>2003</v>
      </c>
      <c r="AG8" s="28">
        <v>2002</v>
      </c>
      <c r="AH8" s="138" t="s">
        <v>117</v>
      </c>
      <c r="AI8" s="25"/>
      <c r="AJ8" s="25"/>
      <c r="AK8" s="25"/>
      <c r="AL8" s="28">
        <v>2006</v>
      </c>
      <c r="AM8" s="28">
        <v>2005</v>
      </c>
      <c r="AN8" s="28">
        <v>2004</v>
      </c>
      <c r="AO8" s="28">
        <v>2003</v>
      </c>
      <c r="AP8" s="28">
        <v>2002</v>
      </c>
      <c r="AQ8" s="138" t="s">
        <v>117</v>
      </c>
      <c r="AU8" s="28">
        <v>2006</v>
      </c>
      <c r="AV8" s="28">
        <v>2005</v>
      </c>
      <c r="AW8" s="28">
        <v>2004</v>
      </c>
      <c r="AX8" s="28">
        <v>2003</v>
      </c>
      <c r="AY8" s="28">
        <v>2002</v>
      </c>
      <c r="AZ8" s="138" t="s">
        <v>117</v>
      </c>
    </row>
    <row r="9" spans="3:52" ht="12">
      <c r="C9" s="31" t="s">
        <v>29</v>
      </c>
      <c r="D9" s="31" t="s">
        <v>29</v>
      </c>
      <c r="E9" s="31" t="s">
        <v>29</v>
      </c>
      <c r="F9" s="31" t="s">
        <v>29</v>
      </c>
      <c r="G9" s="32" t="s">
        <v>29</v>
      </c>
      <c r="K9" s="28" t="s">
        <v>71</v>
      </c>
      <c r="L9" s="28" t="s">
        <v>71</v>
      </c>
      <c r="M9" s="28" t="s">
        <v>71</v>
      </c>
      <c r="N9" s="28" t="s">
        <v>71</v>
      </c>
      <c r="O9" s="28" t="s">
        <v>71</v>
      </c>
      <c r="P9" s="29"/>
      <c r="T9" s="28" t="s">
        <v>71</v>
      </c>
      <c r="U9" s="28" t="s">
        <v>71</v>
      </c>
      <c r="V9" s="28" t="s">
        <v>71</v>
      </c>
      <c r="W9" s="28" t="s">
        <v>71</v>
      </c>
      <c r="X9" s="28" t="s">
        <v>71</v>
      </c>
      <c r="Y9" s="138" t="s">
        <v>71</v>
      </c>
      <c r="AC9" s="28" t="s">
        <v>71</v>
      </c>
      <c r="AD9" s="28" t="s">
        <v>71</v>
      </c>
      <c r="AE9" s="28" t="s">
        <v>71</v>
      </c>
      <c r="AF9" s="28" t="s">
        <v>71</v>
      </c>
      <c r="AG9" s="28" t="s">
        <v>71</v>
      </c>
      <c r="AH9" s="138" t="s">
        <v>71</v>
      </c>
      <c r="AI9" s="25"/>
      <c r="AJ9" s="25"/>
      <c r="AK9" s="25"/>
      <c r="AL9" s="28" t="s">
        <v>71</v>
      </c>
      <c r="AM9" s="28" t="s">
        <v>71</v>
      </c>
      <c r="AN9" s="28" t="s">
        <v>71</v>
      </c>
      <c r="AO9" s="28" t="s">
        <v>71</v>
      </c>
      <c r="AP9" s="28" t="s">
        <v>71</v>
      </c>
      <c r="AQ9" s="138" t="s">
        <v>71</v>
      </c>
      <c r="AU9" s="28" t="s">
        <v>71</v>
      </c>
      <c r="AV9" s="28" t="s">
        <v>71</v>
      </c>
      <c r="AW9" s="28" t="s">
        <v>71</v>
      </c>
      <c r="AX9" s="28" t="s">
        <v>71</v>
      </c>
      <c r="AY9" s="28" t="s">
        <v>71</v>
      </c>
      <c r="AZ9" s="138" t="s">
        <v>71</v>
      </c>
    </row>
    <row r="10" spans="3:52" ht="12">
      <c r="C10" s="28" t="s">
        <v>38</v>
      </c>
      <c r="D10" s="28" t="s">
        <v>38</v>
      </c>
      <c r="E10" s="28" t="s">
        <v>38</v>
      </c>
      <c r="F10" s="28" t="s">
        <v>38</v>
      </c>
      <c r="G10" s="29" t="s">
        <v>38</v>
      </c>
      <c r="K10" s="28" t="s">
        <v>68</v>
      </c>
      <c r="L10" s="28" t="s">
        <v>68</v>
      </c>
      <c r="M10" s="28" t="s">
        <v>68</v>
      </c>
      <c r="N10" s="28" t="s">
        <v>68</v>
      </c>
      <c r="O10" s="28" t="s">
        <v>68</v>
      </c>
      <c r="P10" s="29"/>
      <c r="S10" s="22" t="s">
        <v>218</v>
      </c>
      <c r="T10" s="28" t="s">
        <v>38</v>
      </c>
      <c r="U10" s="28" t="s">
        <v>38</v>
      </c>
      <c r="V10" s="28" t="s">
        <v>38</v>
      </c>
      <c r="W10" s="28" t="s">
        <v>38</v>
      </c>
      <c r="X10" s="28" t="s">
        <v>38</v>
      </c>
      <c r="Y10" s="138" t="s">
        <v>38</v>
      </c>
      <c r="AB10" s="22" t="s">
        <v>218</v>
      </c>
      <c r="AC10" s="28" t="s">
        <v>68</v>
      </c>
      <c r="AD10" s="28" t="s">
        <v>68</v>
      </c>
      <c r="AE10" s="28" t="s">
        <v>68</v>
      </c>
      <c r="AF10" s="28" t="s">
        <v>68</v>
      </c>
      <c r="AG10" s="28" t="s">
        <v>68</v>
      </c>
      <c r="AH10" s="138" t="s">
        <v>68</v>
      </c>
      <c r="AI10" s="25"/>
      <c r="AJ10" s="25"/>
      <c r="AK10" s="22" t="s">
        <v>218</v>
      </c>
      <c r="AL10" s="28" t="s">
        <v>38</v>
      </c>
      <c r="AM10" s="28" t="s">
        <v>38</v>
      </c>
      <c r="AN10" s="28" t="s">
        <v>38</v>
      </c>
      <c r="AO10" s="28" t="s">
        <v>38</v>
      </c>
      <c r="AP10" s="28" t="s">
        <v>38</v>
      </c>
      <c r="AQ10" s="143" t="s">
        <v>38</v>
      </c>
      <c r="AT10" s="22" t="s">
        <v>218</v>
      </c>
      <c r="AU10" s="28" t="s">
        <v>38</v>
      </c>
      <c r="AV10" s="28" t="s">
        <v>38</v>
      </c>
      <c r="AW10" s="28" t="s">
        <v>38</v>
      </c>
      <c r="AX10" s="28" t="s">
        <v>38</v>
      </c>
      <c r="AY10" s="28" t="s">
        <v>38</v>
      </c>
      <c r="AZ10" s="143" t="s">
        <v>38</v>
      </c>
    </row>
    <row r="11" spans="1:52" ht="12">
      <c r="A11" s="22" t="s">
        <v>37</v>
      </c>
      <c r="C11" s="28"/>
      <c r="D11" s="28"/>
      <c r="E11" s="28"/>
      <c r="F11" s="28"/>
      <c r="G11" s="29"/>
      <c r="H11" s="25" t="s">
        <v>26</v>
      </c>
      <c r="I11" s="22"/>
      <c r="J11" s="22"/>
      <c r="K11" s="25">
        <v>96.2</v>
      </c>
      <c r="L11" s="25">
        <v>82</v>
      </c>
      <c r="M11" s="22"/>
      <c r="N11" s="22"/>
      <c r="O11" s="22"/>
      <c r="P11" s="23"/>
      <c r="Q11" s="25" t="s">
        <v>26</v>
      </c>
      <c r="R11" s="22"/>
      <c r="S11" s="132">
        <f>T11-X11</f>
        <v>1399.5</v>
      </c>
      <c r="T11" s="42">
        <v>3323.6</v>
      </c>
      <c r="U11" s="42">
        <v>3108.2</v>
      </c>
      <c r="V11" s="42">
        <v>2723.3</v>
      </c>
      <c r="W11" s="42">
        <v>2205.5</v>
      </c>
      <c r="X11" s="42">
        <v>1924.1</v>
      </c>
      <c r="Y11" s="53">
        <f>AVERAGE(T11:X11)</f>
        <v>2656.9399999999996</v>
      </c>
      <c r="Z11" s="25" t="s">
        <v>26</v>
      </c>
      <c r="AA11" s="22"/>
      <c r="AB11" s="132">
        <f>AC11-AG11</f>
        <v>945</v>
      </c>
      <c r="AC11" s="42">
        <v>956</v>
      </c>
      <c r="AD11" s="42">
        <v>69</v>
      </c>
      <c r="AE11" s="42">
        <v>65</v>
      </c>
      <c r="AF11" s="42">
        <v>12</v>
      </c>
      <c r="AG11" s="42">
        <v>11</v>
      </c>
      <c r="AH11" s="53">
        <f>AVERAGE(AC11:AG11)</f>
        <v>222.6</v>
      </c>
      <c r="AI11" s="25" t="s">
        <v>26</v>
      </c>
      <c r="AJ11" s="22"/>
      <c r="AK11" s="132">
        <f>AL11-AP11</f>
        <v>1890</v>
      </c>
      <c r="AL11" s="42">
        <f>2*AC11</f>
        <v>1912</v>
      </c>
      <c r="AM11" s="42">
        <f aca="true" t="shared" si="0" ref="AM11:AP15">2*AD11</f>
        <v>138</v>
      </c>
      <c r="AN11" s="42">
        <f t="shared" si="0"/>
        <v>130</v>
      </c>
      <c r="AO11" s="42">
        <f t="shared" si="0"/>
        <v>24</v>
      </c>
      <c r="AP11" s="42">
        <f t="shared" si="0"/>
        <v>22</v>
      </c>
      <c r="AQ11" s="53">
        <f>AVERAGE(AL11:AP11)</f>
        <v>445.2</v>
      </c>
      <c r="AR11" s="25" t="s">
        <v>26</v>
      </c>
      <c r="AS11" s="22"/>
      <c r="AT11" s="132">
        <f>AU11-AY11</f>
        <v>4480</v>
      </c>
      <c r="AU11" s="42">
        <v>11844</v>
      </c>
      <c r="AV11" s="42">
        <v>13147</v>
      </c>
      <c r="AW11" s="42">
        <v>11730</v>
      </c>
      <c r="AX11" s="42">
        <v>9253</v>
      </c>
      <c r="AY11" s="42">
        <v>7364</v>
      </c>
      <c r="AZ11" s="53">
        <f>AVERAGE(AU11:AY11)</f>
        <v>10667.6</v>
      </c>
    </row>
    <row r="12" spans="3:52" ht="12">
      <c r="C12" s="35"/>
      <c r="D12" s="35"/>
      <c r="E12" s="35"/>
      <c r="F12" s="35"/>
      <c r="G12" s="36"/>
      <c r="H12" s="25" t="s">
        <v>93</v>
      </c>
      <c r="K12" s="25">
        <v>238</v>
      </c>
      <c r="L12" s="25">
        <v>212.4</v>
      </c>
      <c r="Q12" s="25" t="s">
        <v>93</v>
      </c>
      <c r="S12" s="132">
        <f>T12-X12</f>
        <v>1732.6999999999998</v>
      </c>
      <c r="T12" s="42">
        <v>4874.9</v>
      </c>
      <c r="U12" s="42">
        <v>4574.4</v>
      </c>
      <c r="V12" s="42">
        <v>3969.6</v>
      </c>
      <c r="W12" s="42">
        <v>3441.3</v>
      </c>
      <c r="X12" s="42">
        <v>3142.2</v>
      </c>
      <c r="Y12" s="53">
        <f>AVERAGE(T12:X12)</f>
        <v>4000.4800000000005</v>
      </c>
      <c r="Z12" s="25" t="s">
        <v>93</v>
      </c>
      <c r="AB12" s="132">
        <f>AC12-AG12</f>
        <v>68346</v>
      </c>
      <c r="AC12" s="42">
        <v>101011</v>
      </c>
      <c r="AD12" s="42">
        <v>82709</v>
      </c>
      <c r="AE12" s="42">
        <v>64881</v>
      </c>
      <c r="AF12" s="42">
        <v>51944</v>
      </c>
      <c r="AG12" s="42">
        <v>32665</v>
      </c>
      <c r="AH12" s="53">
        <f>AVERAGE(AC12:AG12)</f>
        <v>66642</v>
      </c>
      <c r="AI12" s="25" t="s">
        <v>93</v>
      </c>
      <c r="AJ12" s="25"/>
      <c r="AK12" s="132">
        <f>AL12-AP12</f>
        <v>136692</v>
      </c>
      <c r="AL12" s="42">
        <f>2*AC12</f>
        <v>202022</v>
      </c>
      <c r="AM12" s="42">
        <f t="shared" si="0"/>
        <v>165418</v>
      </c>
      <c r="AN12" s="42">
        <f t="shared" si="0"/>
        <v>129762</v>
      </c>
      <c r="AO12" s="42">
        <f t="shared" si="0"/>
        <v>103888</v>
      </c>
      <c r="AP12" s="42">
        <f t="shared" si="0"/>
        <v>65330</v>
      </c>
      <c r="AQ12" s="53">
        <f>AVERAGE(AL12:AP12)</f>
        <v>133284</v>
      </c>
      <c r="AR12" s="25" t="s">
        <v>93</v>
      </c>
      <c r="AT12" s="132">
        <f>AU12-AY12</f>
        <v>12902</v>
      </c>
      <c r="AU12" s="42">
        <v>46483</v>
      </c>
      <c r="AV12" s="42">
        <v>51890</v>
      </c>
      <c r="AW12" s="42">
        <f>40476+AW11</f>
        <v>52206</v>
      </c>
      <c r="AX12" s="42">
        <f>34474+AX11</f>
        <v>43727</v>
      </c>
      <c r="AY12" s="42">
        <f>26217+AY11</f>
        <v>33581</v>
      </c>
      <c r="AZ12" s="53">
        <f>AVERAGE(AU12:AY12)</f>
        <v>45577.4</v>
      </c>
    </row>
    <row r="13" spans="1:61" s="22" customFormat="1" ht="12">
      <c r="A13" s="22" t="s">
        <v>24</v>
      </c>
      <c r="C13" s="37"/>
      <c r="D13" s="37"/>
      <c r="E13" s="37"/>
      <c r="F13" s="37"/>
      <c r="G13" s="38"/>
      <c r="H13" s="25" t="s">
        <v>72</v>
      </c>
      <c r="I13" s="25"/>
      <c r="J13" s="25"/>
      <c r="K13" s="25">
        <v>104.6</v>
      </c>
      <c r="L13" s="25">
        <v>90.8</v>
      </c>
      <c r="M13" s="25"/>
      <c r="N13" s="25"/>
      <c r="O13" s="25"/>
      <c r="P13" s="26"/>
      <c r="Q13" s="25" t="s">
        <v>72</v>
      </c>
      <c r="R13" s="25"/>
      <c r="S13" s="132">
        <f>T13-X13</f>
        <v>650.1000000000001</v>
      </c>
      <c r="T13" s="57">
        <v>2406.3</v>
      </c>
      <c r="U13" s="57">
        <v>2339.3</v>
      </c>
      <c r="V13" s="57">
        <v>1764</v>
      </c>
      <c r="W13" s="57">
        <v>1821</v>
      </c>
      <c r="X13" s="57">
        <v>1756.2</v>
      </c>
      <c r="Y13" s="53">
        <f>AVERAGE(T13:X13)</f>
        <v>2017.3600000000001</v>
      </c>
      <c r="Z13" s="25" t="s">
        <v>72</v>
      </c>
      <c r="AA13" s="25"/>
      <c r="AB13" s="132">
        <f>AC13-AG13</f>
        <v>12223</v>
      </c>
      <c r="AC13" s="42">
        <v>31470</v>
      </c>
      <c r="AD13" s="42">
        <v>26099</v>
      </c>
      <c r="AE13" s="42">
        <v>21655</v>
      </c>
      <c r="AF13" s="42">
        <v>20259</v>
      </c>
      <c r="AG13" s="42">
        <v>19247</v>
      </c>
      <c r="AH13" s="53">
        <f>AVERAGE(AC13:AG13)</f>
        <v>23746</v>
      </c>
      <c r="AI13" s="25" t="s">
        <v>72</v>
      </c>
      <c r="AJ13" s="25"/>
      <c r="AK13" s="132">
        <f>AL13-AP13</f>
        <v>24446</v>
      </c>
      <c r="AL13" s="42">
        <f>2*AC13</f>
        <v>62940</v>
      </c>
      <c r="AM13" s="42">
        <f t="shared" si="0"/>
        <v>52198</v>
      </c>
      <c r="AN13" s="42">
        <f t="shared" si="0"/>
        <v>43310</v>
      </c>
      <c r="AO13" s="42">
        <f t="shared" si="0"/>
        <v>40518</v>
      </c>
      <c r="AP13" s="42">
        <f t="shared" si="0"/>
        <v>38494</v>
      </c>
      <c r="AQ13" s="53">
        <f>AVERAGE(AL13:AP13)</f>
        <v>47492</v>
      </c>
      <c r="AR13" s="25" t="s">
        <v>72</v>
      </c>
      <c r="AS13" s="25"/>
      <c r="AT13" s="132">
        <f>AU13-AY13</f>
        <v>2552</v>
      </c>
      <c r="AU13" s="42">
        <v>8799</v>
      </c>
      <c r="AV13" s="42">
        <v>9550</v>
      </c>
      <c r="AW13" s="42">
        <v>1577</v>
      </c>
      <c r="AX13" s="42">
        <v>65</v>
      </c>
      <c r="AY13" s="42">
        <f>1918+4329</f>
        <v>6247</v>
      </c>
      <c r="AZ13" s="53">
        <f>AVERAGE(AU13:AY13)</f>
        <v>5247.6</v>
      </c>
      <c r="BA13" s="139"/>
      <c r="BB13" s="139"/>
      <c r="BC13" s="139"/>
      <c r="BD13" s="139"/>
      <c r="BE13" s="139"/>
      <c r="BF13" s="139"/>
      <c r="BG13" s="139"/>
      <c r="BH13" s="139"/>
      <c r="BI13" s="139"/>
    </row>
    <row r="14" spans="1:52" ht="12">
      <c r="A14" s="25" t="s">
        <v>26</v>
      </c>
      <c r="C14" s="39">
        <v>1389320</v>
      </c>
      <c r="D14" s="39">
        <v>851523</v>
      </c>
      <c r="E14" s="39">
        <v>1039458</v>
      </c>
      <c r="F14" s="39"/>
      <c r="G14" s="40"/>
      <c r="H14" s="25" t="s">
        <v>35</v>
      </c>
      <c r="K14" s="25">
        <v>232.1</v>
      </c>
      <c r="L14" s="25">
        <v>229.2</v>
      </c>
      <c r="M14" s="22"/>
      <c r="N14" s="22"/>
      <c r="O14" s="22"/>
      <c r="P14" s="23"/>
      <c r="Q14" s="25" t="s">
        <v>35</v>
      </c>
      <c r="S14" s="132">
        <f>T14-X14</f>
        <v>886.0999999999999</v>
      </c>
      <c r="T14" s="42">
        <v>3144.4</v>
      </c>
      <c r="U14" s="42">
        <v>2943.9</v>
      </c>
      <c r="V14" s="42">
        <v>2633.8</v>
      </c>
      <c r="W14" s="42">
        <v>2359.8</v>
      </c>
      <c r="X14" s="42">
        <v>2258.3</v>
      </c>
      <c r="Y14" s="53">
        <f>AVERAGE(T14:X14)</f>
        <v>2668.04</v>
      </c>
      <c r="Z14" s="25" t="s">
        <v>35</v>
      </c>
      <c r="AB14" s="132">
        <f>AC14-AG14</f>
        <v>65135</v>
      </c>
      <c r="AC14" s="42">
        <v>97800</v>
      </c>
      <c r="AD14" s="42">
        <v>80097</v>
      </c>
      <c r="AE14" s="42">
        <v>63343</v>
      </c>
      <c r="AF14" s="42">
        <v>37111</v>
      </c>
      <c r="AG14" s="42">
        <v>32665</v>
      </c>
      <c r="AH14" s="53">
        <f>AVERAGE(AC14:AG14)</f>
        <v>62203.2</v>
      </c>
      <c r="AI14" s="25" t="s">
        <v>35</v>
      </c>
      <c r="AJ14" s="25"/>
      <c r="AK14" s="132">
        <f>AL14-AP14</f>
        <v>130270</v>
      </c>
      <c r="AL14" s="42">
        <f>2*AC14</f>
        <v>195600</v>
      </c>
      <c r="AM14" s="42">
        <f t="shared" si="0"/>
        <v>160194</v>
      </c>
      <c r="AN14" s="42">
        <f t="shared" si="0"/>
        <v>126686</v>
      </c>
      <c r="AO14" s="42">
        <f t="shared" si="0"/>
        <v>74222</v>
      </c>
      <c r="AP14" s="42">
        <f t="shared" si="0"/>
        <v>65330</v>
      </c>
      <c r="AQ14" s="53">
        <f>AVERAGE(AL14:AP14)</f>
        <v>124406.4</v>
      </c>
      <c r="AR14" s="25" t="s">
        <v>35</v>
      </c>
      <c r="AT14" s="132">
        <f>AU14-AY14</f>
        <v>-3837</v>
      </c>
      <c r="AU14" s="42">
        <v>19356</v>
      </c>
      <c r="AV14" s="42">
        <v>24312</v>
      </c>
      <c r="AW14" s="42">
        <f>7449+2081+5368+4986+4445+175+AW13</f>
        <v>26081</v>
      </c>
      <c r="AX14" s="42">
        <f>6665+1088+5577+3954+3396+AX13</f>
        <v>20745</v>
      </c>
      <c r="AY14" s="42">
        <f>5873+1084+4789+2896+2304+AY13</f>
        <v>23193</v>
      </c>
      <c r="AZ14" s="53">
        <f>AVERAGE(AU14:AY14)</f>
        <v>22737.4</v>
      </c>
    </row>
    <row r="15" spans="1:52" ht="12">
      <c r="A15" s="25" t="s">
        <v>27</v>
      </c>
      <c r="C15" s="39">
        <v>1176703</v>
      </c>
      <c r="D15" s="39">
        <v>1043183</v>
      </c>
      <c r="E15" s="39">
        <v>1138241</v>
      </c>
      <c r="F15" s="39"/>
      <c r="G15" s="40"/>
      <c r="H15" s="22"/>
      <c r="I15" s="22"/>
      <c r="J15" s="22"/>
      <c r="K15" s="22"/>
      <c r="L15" s="22"/>
      <c r="Q15" s="25" t="s">
        <v>100</v>
      </c>
      <c r="S15" s="132">
        <f>T15-X15</f>
        <v>846.6</v>
      </c>
      <c r="T15" s="42">
        <v>1730.5</v>
      </c>
      <c r="U15" s="42">
        <v>1630.6</v>
      </c>
      <c r="V15" s="42">
        <v>1335.8</v>
      </c>
      <c r="W15" s="42">
        <v>1081.5</v>
      </c>
      <c r="X15" s="42">
        <v>883.9</v>
      </c>
      <c r="Y15" s="53">
        <f>AVERAGE(T15:X15)</f>
        <v>1332.4599999999998</v>
      </c>
      <c r="Z15" s="25" t="s">
        <v>100</v>
      </c>
      <c r="AB15" s="132">
        <f>AC15-AG15</f>
        <v>2002</v>
      </c>
      <c r="AC15" s="42">
        <v>3211</v>
      </c>
      <c r="AD15" s="42">
        <v>2611</v>
      </c>
      <c r="AE15" s="42">
        <v>1538</v>
      </c>
      <c r="AF15" s="42">
        <v>1340</v>
      </c>
      <c r="AG15" s="42">
        <v>1209</v>
      </c>
      <c r="AH15" s="53">
        <f>AVERAGE(AC15:AG15)</f>
        <v>1981.8</v>
      </c>
      <c r="AI15" s="25" t="s">
        <v>100</v>
      </c>
      <c r="AJ15" s="25"/>
      <c r="AK15" s="132">
        <f>AL15-AP15</f>
        <v>4004</v>
      </c>
      <c r="AL15" s="42">
        <f>2*AC15</f>
        <v>6422</v>
      </c>
      <c r="AM15" s="42">
        <f t="shared" si="0"/>
        <v>5222</v>
      </c>
      <c r="AN15" s="42">
        <f t="shared" si="0"/>
        <v>3076</v>
      </c>
      <c r="AO15" s="42">
        <f t="shared" si="0"/>
        <v>2680</v>
      </c>
      <c r="AP15" s="42">
        <f t="shared" si="0"/>
        <v>2418</v>
      </c>
      <c r="AQ15" s="53">
        <f>AVERAGE(AL15:AP15)</f>
        <v>3963.6</v>
      </c>
      <c r="AR15" s="25" t="s">
        <v>100</v>
      </c>
      <c r="AT15" s="132">
        <f>AU15-AY15</f>
        <v>10866</v>
      </c>
      <c r="AU15" s="42">
        <v>27127</v>
      </c>
      <c r="AV15" s="42">
        <v>27578</v>
      </c>
      <c r="AW15" s="42">
        <v>24998</v>
      </c>
      <c r="AX15" s="42">
        <v>20394</v>
      </c>
      <c r="AY15" s="42">
        <v>16261</v>
      </c>
      <c r="AZ15" s="53">
        <f>AVERAGE(AU15:AY15)</f>
        <v>23271.6</v>
      </c>
    </row>
    <row r="16" spans="1:61" s="22" customFormat="1" ht="12.75" thickBot="1">
      <c r="A16" s="22" t="s">
        <v>28</v>
      </c>
      <c r="C16" s="41">
        <f>SUM(C14:C15)</f>
        <v>2566023</v>
      </c>
      <c r="D16" s="41">
        <f>SUM(D14:D15)</f>
        <v>1894706</v>
      </c>
      <c r="E16" s="41">
        <f>SUM(E14:E15)</f>
        <v>2177699</v>
      </c>
      <c r="F16" s="41">
        <f>SUM(F14:F15)</f>
        <v>0</v>
      </c>
      <c r="G16" s="41">
        <f>SUM(G14:G15)</f>
        <v>0</v>
      </c>
      <c r="H16" s="25" t="s">
        <v>73</v>
      </c>
      <c r="I16" s="25"/>
      <c r="J16" s="25"/>
      <c r="K16" s="25">
        <v>357.3</v>
      </c>
      <c r="L16" s="25">
        <v>376.4</v>
      </c>
      <c r="M16" s="25"/>
      <c r="N16" s="25"/>
      <c r="O16" s="25"/>
      <c r="P16" s="26"/>
      <c r="T16" s="42"/>
      <c r="U16" s="42"/>
      <c r="V16" s="42"/>
      <c r="W16" s="42"/>
      <c r="X16" s="42"/>
      <c r="Y16" s="53"/>
      <c r="AC16" s="42"/>
      <c r="AD16" s="42"/>
      <c r="AE16" s="42"/>
      <c r="AF16" s="42"/>
      <c r="AG16" s="42"/>
      <c r="AH16" s="53"/>
      <c r="AL16" s="42"/>
      <c r="AM16" s="42"/>
      <c r="AN16" s="42"/>
      <c r="AO16" s="42"/>
      <c r="AP16" s="42"/>
      <c r="AQ16" s="53"/>
      <c r="AU16" s="42"/>
      <c r="AV16" s="42"/>
      <c r="AW16" s="42"/>
      <c r="AX16" s="42"/>
      <c r="AY16" s="42"/>
      <c r="AZ16" s="53"/>
      <c r="BA16" s="139"/>
      <c r="BB16" s="139"/>
      <c r="BC16" s="139"/>
      <c r="BD16" s="139"/>
      <c r="BE16" s="139"/>
      <c r="BF16" s="139"/>
      <c r="BG16" s="139"/>
      <c r="BH16" s="139"/>
      <c r="BI16" s="139"/>
    </row>
    <row r="17" spans="3:52" ht="12.75" thickTop="1">
      <c r="C17" s="39"/>
      <c r="D17" s="39"/>
      <c r="E17" s="39"/>
      <c r="F17" s="39"/>
      <c r="G17" s="40"/>
      <c r="H17" s="25" t="s">
        <v>74</v>
      </c>
      <c r="K17" s="25">
        <v>342.1</v>
      </c>
      <c r="L17" s="25">
        <v>355.9</v>
      </c>
      <c r="Q17" s="25" t="s">
        <v>73</v>
      </c>
      <c r="S17" s="132">
        <f aca="true" t="shared" si="1" ref="S17:S22">T17-X17</f>
        <v>4119.5</v>
      </c>
      <c r="T17" s="42">
        <v>14078.5</v>
      </c>
      <c r="U17" s="42">
        <v>13161</v>
      </c>
      <c r="V17" s="42">
        <v>9380.3</v>
      </c>
      <c r="W17" s="42">
        <v>8805.7</v>
      </c>
      <c r="X17" s="42">
        <v>9959</v>
      </c>
      <c r="Y17" s="53">
        <f aca="true" t="shared" si="2" ref="Y17:Y22">AVERAGE(T17:X17)</f>
        <v>11076.9</v>
      </c>
      <c r="Z17" s="25" t="s">
        <v>73</v>
      </c>
      <c r="AB17" s="132">
        <f aca="true" t="shared" si="3" ref="AB17:AB22">AC17-AG17</f>
        <v>456</v>
      </c>
      <c r="AC17" s="42">
        <v>1017</v>
      </c>
      <c r="AD17" s="42">
        <v>825</v>
      </c>
      <c r="AE17" s="42">
        <v>719</v>
      </c>
      <c r="AF17" s="42">
        <v>660</v>
      </c>
      <c r="AG17" s="42">
        <v>561</v>
      </c>
      <c r="AH17" s="53">
        <f aca="true" t="shared" si="4" ref="AH17:AH22">AVERAGE(AC17:AG17)</f>
        <v>756.4</v>
      </c>
      <c r="AI17" s="25" t="s">
        <v>73</v>
      </c>
      <c r="AJ17" s="25"/>
      <c r="AK17" s="44">
        <f aca="true" t="shared" si="5" ref="AK17:AK22">AL17-AP17</f>
        <v>912</v>
      </c>
      <c r="AL17" s="42">
        <f aca="true" t="shared" si="6" ref="AL17:AL22">2*AC17</f>
        <v>2034</v>
      </c>
      <c r="AM17" s="42">
        <f aca="true" t="shared" si="7" ref="AM17:AM22">2*AD17</f>
        <v>1650</v>
      </c>
      <c r="AN17" s="42">
        <f aca="true" t="shared" si="8" ref="AN17:AN22">2*AE17</f>
        <v>1438</v>
      </c>
      <c r="AO17" s="42">
        <f aca="true" t="shared" si="9" ref="AO17:AO22">2*AF17</f>
        <v>1320</v>
      </c>
      <c r="AP17" s="42">
        <f aca="true" t="shared" si="10" ref="AP17:AP22">2*AG17</f>
        <v>1122</v>
      </c>
      <c r="AQ17" s="53">
        <f aca="true" t="shared" si="11" ref="AQ17:AQ22">AVERAGE(AL17:AP17)</f>
        <v>1512.8</v>
      </c>
      <c r="AR17" s="25" t="s">
        <v>73</v>
      </c>
      <c r="AT17" s="132">
        <f aca="true" t="shared" si="12" ref="AT17:AT22">AU17-AY17</f>
        <v>17927</v>
      </c>
      <c r="AU17" s="42">
        <v>33072</v>
      </c>
      <c r="AV17" s="42">
        <v>29434</v>
      </c>
      <c r="AW17" s="42">
        <v>24930</v>
      </c>
      <c r="AX17" s="42">
        <v>18637</v>
      </c>
      <c r="AY17" s="42">
        <v>15145</v>
      </c>
      <c r="AZ17" s="53">
        <f aca="true" t="shared" si="13" ref="AZ17:AZ22">AVERAGE(AU17:AY17)</f>
        <v>24243.6</v>
      </c>
    </row>
    <row r="18" spans="1:52" ht="12">
      <c r="A18" s="22" t="s">
        <v>30</v>
      </c>
      <c r="E18" s="42"/>
      <c r="F18" s="42"/>
      <c r="G18" s="43"/>
      <c r="H18" s="25" t="s">
        <v>88</v>
      </c>
      <c r="K18" s="25">
        <f>K16-K17</f>
        <v>15.199999999999989</v>
      </c>
      <c r="L18" s="25">
        <f>L16-L17</f>
        <v>20.5</v>
      </c>
      <c r="M18" s="25">
        <f>M16-M17</f>
        <v>0</v>
      </c>
      <c r="N18" s="25">
        <f>N16-N17</f>
        <v>0</v>
      </c>
      <c r="O18" s="25">
        <f>O16-O17</f>
        <v>0</v>
      </c>
      <c r="Q18" s="25" t="s">
        <v>74</v>
      </c>
      <c r="S18" s="132">
        <f t="shared" si="1"/>
        <v>3977.2000000000007</v>
      </c>
      <c r="T18" s="42">
        <v>13522</v>
      </c>
      <c r="U18" s="42">
        <v>12725.1</v>
      </c>
      <c r="V18" s="42">
        <v>8960.2</v>
      </c>
      <c r="W18" s="42">
        <v>8399.5</v>
      </c>
      <c r="X18" s="42">
        <v>9544.8</v>
      </c>
      <c r="Y18" s="53">
        <f t="shared" si="2"/>
        <v>10630.320000000002</v>
      </c>
      <c r="Z18" s="25" t="s">
        <v>74</v>
      </c>
      <c r="AB18" s="132">
        <f t="shared" si="3"/>
        <v>154</v>
      </c>
      <c r="AC18" s="42">
        <f>AC17-AC19</f>
        <v>390</v>
      </c>
      <c r="AD18" s="42">
        <f>AD17-AD19</f>
        <v>331</v>
      </c>
      <c r="AE18" s="42">
        <f>AE17-AE19</f>
        <v>284</v>
      </c>
      <c r="AF18" s="42">
        <f>AF17-AF19</f>
        <v>273</v>
      </c>
      <c r="AG18" s="42">
        <f>AG17-AG19</f>
        <v>236</v>
      </c>
      <c r="AH18" s="53">
        <f t="shared" si="4"/>
        <v>302.8</v>
      </c>
      <c r="AI18" s="25" t="s">
        <v>74</v>
      </c>
      <c r="AJ18" s="25"/>
      <c r="AK18" s="44">
        <f t="shared" si="5"/>
        <v>308</v>
      </c>
      <c r="AL18" s="42">
        <f t="shared" si="6"/>
        <v>780</v>
      </c>
      <c r="AM18" s="42">
        <f t="shared" si="7"/>
        <v>662</v>
      </c>
      <c r="AN18" s="42">
        <f t="shared" si="8"/>
        <v>568</v>
      </c>
      <c r="AO18" s="42">
        <f t="shared" si="9"/>
        <v>546</v>
      </c>
      <c r="AP18" s="42">
        <f t="shared" si="10"/>
        <v>472</v>
      </c>
      <c r="AQ18" s="53">
        <f t="shared" si="11"/>
        <v>605.6</v>
      </c>
      <c r="AR18" s="25" t="s">
        <v>74</v>
      </c>
      <c r="AT18" s="132">
        <f t="shared" si="12"/>
        <v>12394</v>
      </c>
      <c r="AU18" s="42">
        <v>25198</v>
      </c>
      <c r="AV18" s="42">
        <v>24577</v>
      </c>
      <c r="AW18" s="42">
        <v>21844</v>
      </c>
      <c r="AX18" s="42">
        <v>17026</v>
      </c>
      <c r="AY18" s="42">
        <v>12804</v>
      </c>
      <c r="AZ18" s="53">
        <f t="shared" si="13"/>
        <v>20289.8</v>
      </c>
    </row>
    <row r="19" spans="1:52" ht="12">
      <c r="A19" s="25" t="s">
        <v>31</v>
      </c>
      <c r="C19" s="39">
        <v>1247603</v>
      </c>
      <c r="D19" s="39">
        <v>997564</v>
      </c>
      <c r="E19" s="42">
        <v>1251581</v>
      </c>
      <c r="F19" s="42"/>
      <c r="G19" s="43"/>
      <c r="H19" s="25" t="s">
        <v>82</v>
      </c>
      <c r="K19" s="25">
        <v>-3.6</v>
      </c>
      <c r="L19" s="25">
        <v>-4.2</v>
      </c>
      <c r="Q19" s="25" t="s">
        <v>116</v>
      </c>
      <c r="S19" s="132">
        <f t="shared" si="1"/>
        <v>142.29999999999927</v>
      </c>
      <c r="T19" s="42">
        <f>T17-T18</f>
        <v>556.5</v>
      </c>
      <c r="U19" s="42">
        <f>U17-U18</f>
        <v>435.89999999999964</v>
      </c>
      <c r="V19" s="42">
        <f>V17-V18</f>
        <v>420.09999999999854</v>
      </c>
      <c r="W19" s="42">
        <f>W17-W18</f>
        <v>406.2000000000007</v>
      </c>
      <c r="X19" s="42">
        <f>X17-X18</f>
        <v>414.2000000000007</v>
      </c>
      <c r="Y19" s="53">
        <f t="shared" si="2"/>
        <v>446.5799999999999</v>
      </c>
      <c r="Z19" s="25" t="s">
        <v>116</v>
      </c>
      <c r="AB19" s="132">
        <f t="shared" si="3"/>
        <v>302</v>
      </c>
      <c r="AC19" s="42">
        <v>627</v>
      </c>
      <c r="AD19" s="42">
        <v>494</v>
      </c>
      <c r="AE19" s="42">
        <v>435</v>
      </c>
      <c r="AF19" s="42">
        <v>387</v>
      </c>
      <c r="AG19" s="42">
        <v>325</v>
      </c>
      <c r="AH19" s="53">
        <f t="shared" si="4"/>
        <v>453.6</v>
      </c>
      <c r="AI19" s="25" t="s">
        <v>116</v>
      </c>
      <c r="AJ19" s="25"/>
      <c r="AK19" s="44">
        <f t="shared" si="5"/>
        <v>604</v>
      </c>
      <c r="AL19" s="42">
        <f t="shared" si="6"/>
        <v>1254</v>
      </c>
      <c r="AM19" s="42">
        <f t="shared" si="7"/>
        <v>988</v>
      </c>
      <c r="AN19" s="42">
        <f t="shared" si="8"/>
        <v>870</v>
      </c>
      <c r="AO19" s="42">
        <f t="shared" si="9"/>
        <v>774</v>
      </c>
      <c r="AP19" s="42">
        <f t="shared" si="10"/>
        <v>650</v>
      </c>
      <c r="AQ19" s="53">
        <f t="shared" si="11"/>
        <v>907.2</v>
      </c>
      <c r="AR19" s="25" t="s">
        <v>116</v>
      </c>
      <c r="AT19" s="132">
        <f t="shared" si="12"/>
        <v>5533</v>
      </c>
      <c r="AU19" s="42">
        <f>AU17-AU18</f>
        <v>7874</v>
      </c>
      <c r="AV19" s="42">
        <f>AV17-AV18</f>
        <v>4857</v>
      </c>
      <c r="AW19" s="42">
        <f>AW17-AW18</f>
        <v>3086</v>
      </c>
      <c r="AX19" s="42">
        <f>AX17-AX18</f>
        <v>1611</v>
      </c>
      <c r="AY19" s="42">
        <f>AY17-AY18</f>
        <v>2341</v>
      </c>
      <c r="AZ19" s="53">
        <f t="shared" si="13"/>
        <v>3953.8</v>
      </c>
    </row>
    <row r="20" spans="1:52" ht="12">
      <c r="A20" s="25" t="s">
        <v>32</v>
      </c>
      <c r="C20" s="39">
        <v>181492</v>
      </c>
      <c r="D20" s="39">
        <v>293953</v>
      </c>
      <c r="E20" s="42">
        <v>534859</v>
      </c>
      <c r="F20" s="42"/>
      <c r="G20" s="43"/>
      <c r="H20" s="25" t="s">
        <v>83</v>
      </c>
      <c r="K20" s="25">
        <v>-0.8</v>
      </c>
      <c r="L20" s="25">
        <v>-0.7</v>
      </c>
      <c r="Q20" s="25" t="s">
        <v>82</v>
      </c>
      <c r="S20" s="132">
        <f t="shared" si="1"/>
        <v>14.1</v>
      </c>
      <c r="T20" s="42">
        <v>23</v>
      </c>
      <c r="U20" s="42">
        <v>16.3</v>
      </c>
      <c r="V20" s="42">
        <v>15.4</v>
      </c>
      <c r="W20" s="42">
        <v>10.1</v>
      </c>
      <c r="X20" s="42">
        <v>8.9</v>
      </c>
      <c r="Y20" s="53">
        <f t="shared" si="2"/>
        <v>14.74</v>
      </c>
      <c r="Z20" s="25" t="s">
        <v>82</v>
      </c>
      <c r="AB20" s="132">
        <f t="shared" si="3"/>
        <v>3006</v>
      </c>
      <c r="AC20" s="42">
        <v>4123</v>
      </c>
      <c r="AD20" s="42">
        <v>3304</v>
      </c>
      <c r="AE20" s="42">
        <v>2523</v>
      </c>
      <c r="AF20" s="42">
        <v>1165</v>
      </c>
      <c r="AG20" s="42">
        <v>1117</v>
      </c>
      <c r="AH20" s="53">
        <f t="shared" si="4"/>
        <v>2446.4</v>
      </c>
      <c r="AI20" s="25" t="s">
        <v>82</v>
      </c>
      <c r="AJ20" s="25"/>
      <c r="AK20" s="44">
        <f t="shared" si="5"/>
        <v>6012</v>
      </c>
      <c r="AL20" s="42">
        <f t="shared" si="6"/>
        <v>8246</v>
      </c>
      <c r="AM20" s="42">
        <f t="shared" si="7"/>
        <v>6608</v>
      </c>
      <c r="AN20" s="42">
        <f t="shared" si="8"/>
        <v>5046</v>
      </c>
      <c r="AO20" s="42">
        <f t="shared" si="9"/>
        <v>2330</v>
      </c>
      <c r="AP20" s="42">
        <f t="shared" si="10"/>
        <v>2234</v>
      </c>
      <c r="AQ20" s="53">
        <f t="shared" si="11"/>
        <v>4892.8</v>
      </c>
      <c r="AR20" s="25" t="s">
        <v>82</v>
      </c>
      <c r="AT20" s="132">
        <f t="shared" si="12"/>
        <v>145</v>
      </c>
      <c r="AU20" s="42">
        <v>426</v>
      </c>
      <c r="AV20" s="42">
        <v>547</v>
      </c>
      <c r="AW20" s="42">
        <v>572</v>
      </c>
      <c r="AX20" s="42">
        <v>452</v>
      </c>
      <c r="AY20" s="25">
        <v>281</v>
      </c>
      <c r="AZ20" s="53">
        <f>AVERAGE(AU20:AY20)</f>
        <v>455.6</v>
      </c>
    </row>
    <row r="21" spans="1:52" ht="12">
      <c r="A21" s="25" t="s">
        <v>33</v>
      </c>
      <c r="C21" s="39">
        <v>1073218</v>
      </c>
      <c r="D21" s="39">
        <v>944347</v>
      </c>
      <c r="E21" s="42">
        <v>916824</v>
      </c>
      <c r="F21" s="42"/>
      <c r="G21" s="43"/>
      <c r="H21" s="25" t="s">
        <v>98</v>
      </c>
      <c r="K21" s="25">
        <v>7.6</v>
      </c>
      <c r="L21" s="25">
        <v>12.8</v>
      </c>
      <c r="Q21" s="25" t="s">
        <v>83</v>
      </c>
      <c r="S21" s="132">
        <f t="shared" si="1"/>
        <v>28</v>
      </c>
      <c r="T21" s="42">
        <v>118.5</v>
      </c>
      <c r="U21" s="42">
        <v>72.3</v>
      </c>
      <c r="V21" s="42">
        <v>94</v>
      </c>
      <c r="W21" s="42">
        <v>88.5</v>
      </c>
      <c r="X21" s="42">
        <v>90.5</v>
      </c>
      <c r="Y21" s="53">
        <f t="shared" si="2"/>
        <v>92.76</v>
      </c>
      <c r="Z21" s="25" t="s">
        <v>83</v>
      </c>
      <c r="AB21" s="132">
        <f t="shared" si="3"/>
        <v>87</v>
      </c>
      <c r="AC21" s="42">
        <v>184</v>
      </c>
      <c r="AD21" s="42">
        <v>145</v>
      </c>
      <c r="AE21" s="42">
        <v>126</v>
      </c>
      <c r="AF21" s="42">
        <v>112</v>
      </c>
      <c r="AG21" s="42">
        <v>97</v>
      </c>
      <c r="AH21" s="53">
        <f t="shared" si="4"/>
        <v>132.8</v>
      </c>
      <c r="AI21" s="25" t="s">
        <v>83</v>
      </c>
      <c r="AJ21" s="25"/>
      <c r="AK21" s="44">
        <f t="shared" si="5"/>
        <v>174</v>
      </c>
      <c r="AL21" s="42">
        <f t="shared" si="6"/>
        <v>368</v>
      </c>
      <c r="AM21" s="42">
        <f t="shared" si="7"/>
        <v>290</v>
      </c>
      <c r="AN21" s="42">
        <f t="shared" si="8"/>
        <v>252</v>
      </c>
      <c r="AO21" s="42">
        <f t="shared" si="9"/>
        <v>224</v>
      </c>
      <c r="AP21" s="42">
        <f t="shared" si="10"/>
        <v>194</v>
      </c>
      <c r="AQ21" s="53">
        <f t="shared" si="11"/>
        <v>265.6</v>
      </c>
      <c r="AR21" s="25" t="s">
        <v>83</v>
      </c>
      <c r="AT21" s="132">
        <f t="shared" si="12"/>
        <v>1313</v>
      </c>
      <c r="AU21" s="42">
        <v>2035</v>
      </c>
      <c r="AV21" s="42">
        <v>954</v>
      </c>
      <c r="AW21" s="42">
        <v>478</v>
      </c>
      <c r="AX21" s="42">
        <v>707</v>
      </c>
      <c r="AY21" s="42">
        <v>722</v>
      </c>
      <c r="AZ21" s="53">
        <f>AVERAGE(AU21:AY21)</f>
        <v>979.2</v>
      </c>
    </row>
    <row r="22" spans="1:52" ht="12">
      <c r="A22" s="25" t="s">
        <v>36</v>
      </c>
      <c r="C22" s="39">
        <v>983</v>
      </c>
      <c r="D22" s="39">
        <v>0</v>
      </c>
      <c r="E22" s="42">
        <v>0</v>
      </c>
      <c r="F22" s="42"/>
      <c r="G22" s="43"/>
      <c r="H22" s="22"/>
      <c r="I22" s="22"/>
      <c r="J22" s="22"/>
      <c r="K22" s="22"/>
      <c r="L22" s="22"/>
      <c r="M22" s="22"/>
      <c r="N22" s="22"/>
      <c r="O22" s="22"/>
      <c r="P22" s="23"/>
      <c r="Q22" s="25" t="s">
        <v>98</v>
      </c>
      <c r="S22" s="132">
        <f t="shared" si="1"/>
        <v>99.9</v>
      </c>
      <c r="T22" s="42">
        <v>263.5</v>
      </c>
      <c r="U22" s="42">
        <v>227.3</v>
      </c>
      <c r="V22" s="42">
        <v>186.7</v>
      </c>
      <c r="W22" s="42">
        <v>157.5</v>
      </c>
      <c r="X22" s="42">
        <v>163.6</v>
      </c>
      <c r="Y22" s="53">
        <f t="shared" si="2"/>
        <v>199.72</v>
      </c>
      <c r="Z22" s="25" t="s">
        <v>98</v>
      </c>
      <c r="AB22" s="132">
        <f t="shared" si="3"/>
        <v>214</v>
      </c>
      <c r="AC22" s="42">
        <v>443</v>
      </c>
      <c r="AD22" s="42">
        <v>349</v>
      </c>
      <c r="AE22" s="42">
        <v>310</v>
      </c>
      <c r="AF22" s="42">
        <v>274</v>
      </c>
      <c r="AG22" s="42">
        <v>229</v>
      </c>
      <c r="AH22" s="53">
        <f t="shared" si="4"/>
        <v>321</v>
      </c>
      <c r="AI22" s="25" t="s">
        <v>98</v>
      </c>
      <c r="AJ22" s="25"/>
      <c r="AK22" s="44">
        <f t="shared" si="5"/>
        <v>428</v>
      </c>
      <c r="AL22" s="42">
        <f t="shared" si="6"/>
        <v>886</v>
      </c>
      <c r="AM22" s="42">
        <f t="shared" si="7"/>
        <v>698</v>
      </c>
      <c r="AN22" s="42">
        <f t="shared" si="8"/>
        <v>620</v>
      </c>
      <c r="AO22" s="42">
        <f t="shared" si="9"/>
        <v>548</v>
      </c>
      <c r="AP22" s="42">
        <f t="shared" si="10"/>
        <v>458</v>
      </c>
      <c r="AQ22" s="53">
        <f t="shared" si="11"/>
        <v>642</v>
      </c>
      <c r="AR22" s="25" t="s">
        <v>98</v>
      </c>
      <c r="AT22" s="132">
        <f t="shared" si="12"/>
        <v>5359</v>
      </c>
      <c r="AU22" s="42">
        <v>6922</v>
      </c>
      <c r="AV22" s="42">
        <v>3933</v>
      </c>
      <c r="AW22" s="42">
        <v>2913</v>
      </c>
      <c r="AX22" s="42">
        <v>1592</v>
      </c>
      <c r="AY22" s="42">
        <v>1563</v>
      </c>
      <c r="AZ22" s="53">
        <f t="shared" si="13"/>
        <v>3384.6</v>
      </c>
    </row>
    <row r="23" spans="1:52" ht="12">
      <c r="A23" s="25" t="s">
        <v>34</v>
      </c>
      <c r="C23" s="39">
        <v>62727</v>
      </c>
      <c r="D23" s="39">
        <v>-341158</v>
      </c>
      <c r="E23" s="42">
        <v>-525565</v>
      </c>
      <c r="F23" s="42"/>
      <c r="G23" s="43"/>
      <c r="H23" s="25" t="s">
        <v>100</v>
      </c>
      <c r="K23" s="25">
        <v>5.9</v>
      </c>
      <c r="L23" s="25">
        <v>-16.8</v>
      </c>
      <c r="Q23" s="22"/>
      <c r="R23" s="22"/>
      <c r="S23" s="22"/>
      <c r="T23" s="44"/>
      <c r="U23" s="44"/>
      <c r="V23" s="44"/>
      <c r="W23" s="44"/>
      <c r="X23" s="44"/>
      <c r="Z23" s="22"/>
      <c r="AA23" s="22"/>
      <c r="AB23" s="22"/>
      <c r="AC23" s="42"/>
      <c r="AD23" s="42"/>
      <c r="AE23" s="42"/>
      <c r="AF23" s="42"/>
      <c r="AG23" s="42"/>
      <c r="AH23" s="53"/>
      <c r="AI23" s="22"/>
      <c r="AJ23" s="22"/>
      <c r="AK23" s="22"/>
      <c r="AL23" s="42"/>
      <c r="AM23" s="42"/>
      <c r="AN23" s="42"/>
      <c r="AO23" s="42"/>
      <c r="AP23" s="42"/>
      <c r="AQ23" s="53"/>
      <c r="AR23" s="22"/>
      <c r="AS23" s="22"/>
      <c r="AT23" s="22"/>
      <c r="AU23" s="42"/>
      <c r="AV23" s="42"/>
      <c r="AW23" s="42"/>
      <c r="AX23" s="42"/>
      <c r="AZ23" s="53"/>
    </row>
    <row r="24" spans="1:61" s="22" customFormat="1" ht="12.75" thickBot="1">
      <c r="A24" s="22" t="s">
        <v>35</v>
      </c>
      <c r="C24" s="41">
        <f>SUM(C19:C23)</f>
        <v>2566023</v>
      </c>
      <c r="D24" s="41">
        <f>SUM(D19:D23)</f>
        <v>1894706</v>
      </c>
      <c r="E24" s="41">
        <f>SUM(E19:E23)</f>
        <v>2177699</v>
      </c>
      <c r="F24" s="41">
        <f>SUM(F19:F23)</f>
        <v>0</v>
      </c>
      <c r="G24" s="41">
        <f>SUM(G19:G23)</f>
        <v>0</v>
      </c>
      <c r="H24" s="25"/>
      <c r="I24" s="25"/>
      <c r="J24" s="25"/>
      <c r="K24" s="25"/>
      <c r="L24" s="25"/>
      <c r="M24" s="25"/>
      <c r="N24" s="25"/>
      <c r="O24" s="25"/>
      <c r="P24" s="26"/>
      <c r="Q24" s="25" t="s">
        <v>60</v>
      </c>
      <c r="R24" s="25"/>
      <c r="S24" s="25"/>
      <c r="T24" s="28" t="s">
        <v>38</v>
      </c>
      <c r="U24" s="28" t="s">
        <v>38</v>
      </c>
      <c r="V24" s="28" t="s">
        <v>38</v>
      </c>
      <c r="W24" s="28" t="s">
        <v>38</v>
      </c>
      <c r="X24" s="28" t="s">
        <v>38</v>
      </c>
      <c r="Y24" s="138" t="s">
        <v>38</v>
      </c>
      <c r="Z24" s="25"/>
      <c r="AA24" s="25"/>
      <c r="AB24" s="25"/>
      <c r="AC24" s="25"/>
      <c r="AD24" s="25"/>
      <c r="AE24" s="25"/>
      <c r="AF24" s="25"/>
      <c r="AG24" s="25"/>
      <c r="AH24" s="137"/>
      <c r="AI24" s="25" t="s">
        <v>60</v>
      </c>
      <c r="AJ24" s="25"/>
      <c r="AK24" s="28" t="s">
        <v>17</v>
      </c>
      <c r="AL24" s="28" t="s">
        <v>38</v>
      </c>
      <c r="AM24" s="28" t="s">
        <v>38</v>
      </c>
      <c r="AN24" s="28" t="s">
        <v>38</v>
      </c>
      <c r="AO24" s="28" t="s">
        <v>38</v>
      </c>
      <c r="AP24" s="28" t="s">
        <v>38</v>
      </c>
      <c r="AQ24" s="143" t="s">
        <v>38</v>
      </c>
      <c r="AR24" s="25" t="s">
        <v>60</v>
      </c>
      <c r="AS24" s="25"/>
      <c r="AT24" s="28" t="s">
        <v>17</v>
      </c>
      <c r="AU24" s="28" t="s">
        <v>38</v>
      </c>
      <c r="AV24" s="28" t="s">
        <v>38</v>
      </c>
      <c r="AW24" s="28" t="s">
        <v>38</v>
      </c>
      <c r="AX24" s="28" t="s">
        <v>38</v>
      </c>
      <c r="AY24" s="28" t="s">
        <v>38</v>
      </c>
      <c r="AZ24" s="143" t="s">
        <v>38</v>
      </c>
      <c r="BA24" s="139"/>
      <c r="BB24" s="139"/>
      <c r="BC24" s="139"/>
      <c r="BD24" s="139"/>
      <c r="BE24" s="139"/>
      <c r="BF24" s="139"/>
      <c r="BG24" s="139"/>
      <c r="BH24" s="139"/>
      <c r="BI24" s="139"/>
    </row>
    <row r="25" spans="8:52" ht="12.75" thickTop="1">
      <c r="H25" s="25" t="s">
        <v>60</v>
      </c>
      <c r="K25" s="28" t="s">
        <v>68</v>
      </c>
      <c r="L25" s="28" t="s">
        <v>68</v>
      </c>
      <c r="M25" s="28" t="s">
        <v>68</v>
      </c>
      <c r="N25" s="28" t="s">
        <v>68</v>
      </c>
      <c r="O25" s="28" t="s">
        <v>68</v>
      </c>
      <c r="P25" s="29"/>
      <c r="R25" s="25" t="s">
        <v>61</v>
      </c>
      <c r="S25" s="44">
        <f>T25-X25</f>
        <v>0.9899999999999998</v>
      </c>
      <c r="T25" s="25">
        <v>3.05</v>
      </c>
      <c r="U25" s="25">
        <v>2.68</v>
      </c>
      <c r="V25" s="25">
        <v>2.29</v>
      </c>
      <c r="W25" s="25">
        <v>1.97</v>
      </c>
      <c r="X25" s="25">
        <v>2.06</v>
      </c>
      <c r="Y25" s="140">
        <f>AVERAGE(T25:X25)</f>
        <v>2.41</v>
      </c>
      <c r="AC25" s="42"/>
      <c r="AD25" s="42"/>
      <c r="AE25" s="42"/>
      <c r="AF25" s="42"/>
      <c r="AG25" s="42"/>
      <c r="AH25" s="53"/>
      <c r="AI25" s="25"/>
      <c r="AJ25" s="25" t="s">
        <v>61</v>
      </c>
      <c r="AK25" s="44">
        <f>AL25-AP25</f>
        <v>0.7799999999999998</v>
      </c>
      <c r="AL25" s="33">
        <f aca="true" t="shared" si="14" ref="AL25:AP26">2*AC27</f>
        <v>1.9</v>
      </c>
      <c r="AM25" s="33">
        <f t="shared" si="14"/>
        <v>1.46</v>
      </c>
      <c r="AN25" s="33">
        <f t="shared" si="14"/>
        <v>1.5</v>
      </c>
      <c r="AO25" s="33">
        <f t="shared" si="14"/>
        <v>1.34</v>
      </c>
      <c r="AP25" s="33">
        <f t="shared" si="14"/>
        <v>1.12</v>
      </c>
      <c r="AQ25" s="140">
        <f>AVERAGE(AL25:AP25)</f>
        <v>1.464</v>
      </c>
      <c r="AS25" s="25" t="s">
        <v>61</v>
      </c>
      <c r="AT25" s="44">
        <f>AU25-AY25</f>
        <v>3.0999999999999996</v>
      </c>
      <c r="AU25" s="54">
        <v>4.21</v>
      </c>
      <c r="AV25" s="54">
        <v>2.43</v>
      </c>
      <c r="AW25" s="54">
        <v>2.03</v>
      </c>
      <c r="AX25" s="54">
        <v>1.13</v>
      </c>
      <c r="AY25" s="54">
        <v>1.11</v>
      </c>
      <c r="AZ25" s="140">
        <f>AVERAGE(AU25:AY25)</f>
        <v>2.182</v>
      </c>
    </row>
    <row r="26" spans="1:52" ht="12">
      <c r="A26" s="22" t="s">
        <v>39</v>
      </c>
      <c r="I26" s="25" t="s">
        <v>61</v>
      </c>
      <c r="K26" s="25">
        <v>2.39</v>
      </c>
      <c r="L26" s="25">
        <v>4.14</v>
      </c>
      <c r="R26" s="25" t="s">
        <v>62</v>
      </c>
      <c r="S26" s="44">
        <f>T26-X26</f>
        <v>0.9000000000000004</v>
      </c>
      <c r="T26" s="25">
        <v>2.95</v>
      </c>
      <c r="U26" s="25">
        <v>2.62</v>
      </c>
      <c r="V26" s="25">
        <v>2.25</v>
      </c>
      <c r="W26" s="25">
        <v>1.95</v>
      </c>
      <c r="X26" s="25">
        <v>2.05</v>
      </c>
      <c r="Y26" s="140">
        <f>AVERAGE(T26:X26)</f>
        <v>2.364</v>
      </c>
      <c r="Z26" s="25" t="s">
        <v>60</v>
      </c>
      <c r="AB26" s="28" t="s">
        <v>17</v>
      </c>
      <c r="AC26" s="28" t="s">
        <v>68</v>
      </c>
      <c r="AD26" s="28" t="s">
        <v>68</v>
      </c>
      <c r="AE26" s="28" t="s">
        <v>68</v>
      </c>
      <c r="AF26" s="28" t="s">
        <v>68</v>
      </c>
      <c r="AG26" s="28" t="s">
        <v>68</v>
      </c>
      <c r="AH26" s="138" t="s">
        <v>68</v>
      </c>
      <c r="AI26" s="25"/>
      <c r="AJ26" s="25" t="s">
        <v>62</v>
      </c>
      <c r="AK26" s="44">
        <f>AL26-AP26</f>
        <v>0.7799999999999998</v>
      </c>
      <c r="AL26" s="33">
        <f t="shared" si="14"/>
        <v>1.88</v>
      </c>
      <c r="AM26" s="33">
        <f t="shared" si="14"/>
        <v>1.44</v>
      </c>
      <c r="AN26" s="33">
        <f t="shared" si="14"/>
        <v>1.48</v>
      </c>
      <c r="AO26" s="33">
        <f t="shared" si="14"/>
        <v>1.32</v>
      </c>
      <c r="AP26" s="33">
        <f t="shared" si="14"/>
        <v>1.1</v>
      </c>
      <c r="AQ26" s="140">
        <f>AVERAGE(AL26:AP26)</f>
        <v>1.4440000000000002</v>
      </c>
      <c r="AS26" s="25" t="s">
        <v>62</v>
      </c>
      <c r="AT26" s="44">
        <f>AU26-AY26</f>
        <v>3.02</v>
      </c>
      <c r="AU26" s="54">
        <v>4.12</v>
      </c>
      <c r="AV26" s="54">
        <v>2.36</v>
      </c>
      <c r="AW26" s="54">
        <v>1.96</v>
      </c>
      <c r="AX26" s="54">
        <v>1.1</v>
      </c>
      <c r="AY26" s="54">
        <v>1.1</v>
      </c>
      <c r="AZ26" s="140">
        <f>AVERAGE(AU26:AY26)</f>
        <v>2.128</v>
      </c>
    </row>
    <row r="27" spans="9:52" ht="12">
      <c r="I27" s="25" t="s">
        <v>62</v>
      </c>
      <c r="K27" s="25">
        <v>2.32</v>
      </c>
      <c r="L27" s="25">
        <v>4.05</v>
      </c>
      <c r="AA27" s="25" t="s">
        <v>61</v>
      </c>
      <c r="AB27" s="44">
        <f>AC27-AG27</f>
        <v>0.3899999999999999</v>
      </c>
      <c r="AC27" s="25">
        <v>0.95</v>
      </c>
      <c r="AD27" s="25">
        <v>0.73</v>
      </c>
      <c r="AE27" s="25">
        <v>0.75</v>
      </c>
      <c r="AF27" s="25">
        <v>0.67</v>
      </c>
      <c r="AG27" s="25">
        <v>0.56</v>
      </c>
      <c r="AH27" s="140">
        <f>AVERAGE(AC27:AG27)</f>
        <v>0.732</v>
      </c>
      <c r="AI27" s="25"/>
      <c r="AJ27" s="25"/>
      <c r="AK27" s="25"/>
      <c r="AL27" s="25"/>
      <c r="AM27" s="25"/>
      <c r="AN27" s="25"/>
      <c r="AO27" s="25"/>
      <c r="AP27" s="25"/>
      <c r="AQ27" s="137"/>
      <c r="AZ27" s="137"/>
    </row>
    <row r="28" spans="1:52" ht="12">
      <c r="A28" s="25" t="s">
        <v>40</v>
      </c>
      <c r="C28" s="42">
        <v>3495048</v>
      </c>
      <c r="D28" s="42">
        <v>2199955</v>
      </c>
      <c r="E28" s="42">
        <v>2661324</v>
      </c>
      <c r="F28" s="42"/>
      <c r="G28" s="43"/>
      <c r="Q28" s="22" t="s">
        <v>77</v>
      </c>
      <c r="T28" s="28" t="s">
        <v>71</v>
      </c>
      <c r="U28" s="28" t="s">
        <v>71</v>
      </c>
      <c r="V28" s="28" t="s">
        <v>71</v>
      </c>
      <c r="W28" s="28" t="s">
        <v>71</v>
      </c>
      <c r="X28" s="28" t="s">
        <v>71</v>
      </c>
      <c r="Y28" s="138" t="s">
        <v>71</v>
      </c>
      <c r="AA28" s="25" t="s">
        <v>62</v>
      </c>
      <c r="AB28" s="44">
        <f>AC28-AG28</f>
        <v>0.3899999999999999</v>
      </c>
      <c r="AC28" s="25">
        <v>0.94</v>
      </c>
      <c r="AD28" s="25">
        <v>0.72</v>
      </c>
      <c r="AE28" s="25">
        <v>0.74</v>
      </c>
      <c r="AF28" s="25">
        <v>0.66</v>
      </c>
      <c r="AG28" s="25">
        <v>0.55</v>
      </c>
      <c r="AH28" s="140">
        <f>AVERAGE(AC28:AG28)</f>
        <v>0.7220000000000001</v>
      </c>
      <c r="AI28" s="22" t="s">
        <v>77</v>
      </c>
      <c r="AJ28" s="25"/>
      <c r="AK28" s="25"/>
      <c r="AL28" s="28" t="s">
        <v>71</v>
      </c>
      <c r="AM28" s="28" t="s">
        <v>71</v>
      </c>
      <c r="AN28" s="28" t="s">
        <v>71</v>
      </c>
      <c r="AO28" s="28" t="s">
        <v>71</v>
      </c>
      <c r="AP28" s="28" t="s">
        <v>71</v>
      </c>
      <c r="AQ28" s="138" t="s">
        <v>71</v>
      </c>
      <c r="AR28" s="22" t="s">
        <v>77</v>
      </c>
      <c r="AU28" s="28" t="s">
        <v>71</v>
      </c>
      <c r="AV28" s="28" t="s">
        <v>71</v>
      </c>
      <c r="AW28" s="28" t="s">
        <v>71</v>
      </c>
      <c r="AX28" s="28" t="s">
        <v>71</v>
      </c>
      <c r="AY28" s="28" t="s">
        <v>71</v>
      </c>
      <c r="AZ28" s="138" t="s">
        <v>71</v>
      </c>
    </row>
    <row r="29" spans="1:52" ht="12">
      <c r="A29" s="25" t="s">
        <v>41</v>
      </c>
      <c r="C29" s="42">
        <v>-2987261</v>
      </c>
      <c r="D29" s="42">
        <v>-1853613</v>
      </c>
      <c r="E29" s="42">
        <v>-2400662</v>
      </c>
      <c r="F29" s="42"/>
      <c r="G29" s="43"/>
      <c r="H29" s="22" t="s">
        <v>77</v>
      </c>
      <c r="T29" s="28" t="s">
        <v>38</v>
      </c>
      <c r="U29" s="28" t="s">
        <v>38</v>
      </c>
      <c r="V29" s="28" t="s">
        <v>38</v>
      </c>
      <c r="W29" s="28" t="s">
        <v>38</v>
      </c>
      <c r="X29" s="28" t="s">
        <v>38</v>
      </c>
      <c r="Y29" s="138" t="s">
        <v>38</v>
      </c>
      <c r="AH29" s="137"/>
      <c r="AI29" s="25"/>
      <c r="AJ29" s="25"/>
      <c r="AK29" s="25"/>
      <c r="AL29" s="28" t="s">
        <v>38</v>
      </c>
      <c r="AM29" s="28" t="s">
        <v>38</v>
      </c>
      <c r="AN29" s="28" t="s">
        <v>38</v>
      </c>
      <c r="AO29" s="28" t="s">
        <v>38</v>
      </c>
      <c r="AP29" s="28" t="s">
        <v>38</v>
      </c>
      <c r="AQ29" s="143" t="s">
        <v>38</v>
      </c>
      <c r="AU29" s="28" t="s">
        <v>38</v>
      </c>
      <c r="AV29" s="28" t="s">
        <v>38</v>
      </c>
      <c r="AW29" s="28" t="s">
        <v>38</v>
      </c>
      <c r="AX29" s="28" t="s">
        <v>38</v>
      </c>
      <c r="AY29" s="28" t="s">
        <v>38</v>
      </c>
      <c r="AZ29" s="143" t="s">
        <v>38</v>
      </c>
    </row>
    <row r="30" spans="1:61" s="22" customFormat="1" ht="12.75" thickBot="1">
      <c r="A30" s="22" t="s">
        <v>42</v>
      </c>
      <c r="C30" s="45">
        <f>SUM(C28:C29)</f>
        <v>507787</v>
      </c>
      <c r="D30" s="45">
        <f>SUM(D28:D29)</f>
        <v>346342</v>
      </c>
      <c r="E30" s="45">
        <f>SUM(E28:E29)</f>
        <v>260662</v>
      </c>
      <c r="F30" s="45">
        <f>SUM(F28:F29)</f>
        <v>0</v>
      </c>
      <c r="G30" s="45">
        <f>SUM(G28:G29)</f>
        <v>0</v>
      </c>
      <c r="H30" s="25"/>
      <c r="I30" s="25"/>
      <c r="J30" s="25"/>
      <c r="K30" s="25"/>
      <c r="L30" s="25"/>
      <c r="M30" s="25"/>
      <c r="N30" s="25"/>
      <c r="O30" s="25"/>
      <c r="P30" s="26"/>
      <c r="Q30" s="25" t="s">
        <v>79</v>
      </c>
      <c r="R30" s="25"/>
      <c r="S30" s="132">
        <f>T30-X30</f>
        <v>100.5</v>
      </c>
      <c r="T30" s="42">
        <v>296.2</v>
      </c>
      <c r="U30" s="42">
        <v>408.7</v>
      </c>
      <c r="V30" s="42">
        <v>-86.2</v>
      </c>
      <c r="W30" s="42">
        <v>-303.7</v>
      </c>
      <c r="X30" s="42">
        <v>195.7</v>
      </c>
      <c r="Y30" s="53">
        <f>AVERAGE(T30:X30)</f>
        <v>102.13999999999999</v>
      </c>
      <c r="Z30" s="22" t="s">
        <v>77</v>
      </c>
      <c r="AA30" s="25"/>
      <c r="AB30" s="25"/>
      <c r="AC30" s="28" t="s">
        <v>71</v>
      </c>
      <c r="AD30" s="28" t="s">
        <v>71</v>
      </c>
      <c r="AE30" s="28" t="s">
        <v>71</v>
      </c>
      <c r="AF30" s="28" t="s">
        <v>71</v>
      </c>
      <c r="AG30" s="28" t="s">
        <v>71</v>
      </c>
      <c r="AH30" s="138" t="s">
        <v>71</v>
      </c>
      <c r="AI30" s="25" t="s">
        <v>79</v>
      </c>
      <c r="AJ30" s="25"/>
      <c r="AK30" s="132">
        <f>AL30-AM30</f>
        <v>-268</v>
      </c>
      <c r="AL30" s="42">
        <f aca="true" t="shared" si="15" ref="AL30:AP32">2*AC32</f>
        <v>4716</v>
      </c>
      <c r="AM30" s="42">
        <f t="shared" si="15"/>
        <v>4984</v>
      </c>
      <c r="AN30" s="42">
        <f t="shared" si="15"/>
        <v>24584</v>
      </c>
      <c r="AO30" s="42">
        <f t="shared" si="15"/>
        <v>0</v>
      </c>
      <c r="AP30" s="42">
        <f t="shared" si="15"/>
        <v>0</v>
      </c>
      <c r="AQ30" s="53">
        <f>AVERAGE(AL30:AP30)</f>
        <v>6856.8</v>
      </c>
      <c r="AR30" s="25" t="s">
        <v>79</v>
      </c>
      <c r="AS30" s="25"/>
      <c r="AT30" s="132">
        <f>AU30-AV30</f>
        <v>1529</v>
      </c>
      <c r="AU30" s="42">
        <v>8310</v>
      </c>
      <c r="AV30" s="42">
        <v>6781</v>
      </c>
      <c r="AW30" s="42">
        <v>5187</v>
      </c>
      <c r="AX30" s="42"/>
      <c r="AY30" s="42"/>
      <c r="AZ30" s="53">
        <f>AVERAGE(AU30:AY30)</f>
        <v>6759.333333333333</v>
      </c>
      <c r="BA30" s="139"/>
      <c r="BB30" s="139"/>
      <c r="BC30" s="139"/>
      <c r="BD30" s="139"/>
      <c r="BE30" s="139"/>
      <c r="BF30" s="139"/>
      <c r="BG30" s="139"/>
      <c r="BH30" s="139"/>
      <c r="BI30" s="139"/>
    </row>
    <row r="31" spans="3:61" s="22" customFormat="1" ht="12.75" thickTop="1">
      <c r="C31" s="46"/>
      <c r="D31" s="46"/>
      <c r="E31" s="46"/>
      <c r="F31" s="46"/>
      <c r="G31" s="46"/>
      <c r="H31" s="25" t="s">
        <v>79</v>
      </c>
      <c r="I31" s="25"/>
      <c r="J31" s="25"/>
      <c r="K31" s="25">
        <v>23.6</v>
      </c>
      <c r="L31" s="25">
        <v>7</v>
      </c>
      <c r="M31" s="25"/>
      <c r="N31" s="25"/>
      <c r="O31" s="25"/>
      <c r="P31" s="26"/>
      <c r="Q31" s="25" t="s">
        <v>80</v>
      </c>
      <c r="R31" s="25"/>
      <c r="S31" s="132">
        <f>T31-X31</f>
        <v>-297.2</v>
      </c>
      <c r="T31" s="42">
        <v>-237.8</v>
      </c>
      <c r="U31" s="42">
        <v>-159.1</v>
      </c>
      <c r="V31" s="42">
        <v>-55.8</v>
      </c>
      <c r="W31" s="42">
        <v>-91.2</v>
      </c>
      <c r="X31" s="42">
        <v>59.4</v>
      </c>
      <c r="Y31" s="53">
        <f>AVERAGE(T31:X31)</f>
        <v>-96.9</v>
      </c>
      <c r="Z31" s="25"/>
      <c r="AA31" s="25"/>
      <c r="AB31" s="25"/>
      <c r="AC31" s="28" t="s">
        <v>68</v>
      </c>
      <c r="AD31" s="28" t="s">
        <v>68</v>
      </c>
      <c r="AE31" s="28" t="s">
        <v>68</v>
      </c>
      <c r="AF31" s="28" t="s">
        <v>68</v>
      </c>
      <c r="AG31" s="28" t="s">
        <v>68</v>
      </c>
      <c r="AH31" s="138" t="s">
        <v>68</v>
      </c>
      <c r="AI31" s="25" t="s">
        <v>80</v>
      </c>
      <c r="AJ31" s="25"/>
      <c r="AK31" s="132">
        <f>AL31-AM31</f>
        <v>2222</v>
      </c>
      <c r="AL31" s="42">
        <f t="shared" si="15"/>
        <v>3012</v>
      </c>
      <c r="AM31" s="42">
        <f t="shared" si="15"/>
        <v>790</v>
      </c>
      <c r="AN31" s="42">
        <f t="shared" si="15"/>
        <v>1602</v>
      </c>
      <c r="AO31" s="42">
        <f t="shared" si="15"/>
        <v>0</v>
      </c>
      <c r="AP31" s="42">
        <f t="shared" si="15"/>
        <v>0</v>
      </c>
      <c r="AQ31" s="53">
        <f>AVERAGE(AL31:AP31)</f>
        <v>1080.8</v>
      </c>
      <c r="AR31" s="25" t="s">
        <v>80</v>
      </c>
      <c r="AS31" s="25"/>
      <c r="AT31" s="132">
        <f>AU31-AV31</f>
        <v>588</v>
      </c>
      <c r="AU31" s="42">
        <v>-1805</v>
      </c>
      <c r="AV31" s="42">
        <v>-2393</v>
      </c>
      <c r="AW31" s="42">
        <v>-2026</v>
      </c>
      <c r="AX31" s="42"/>
      <c r="AY31" s="42"/>
      <c r="AZ31" s="53">
        <f>AVERAGE(AU31:AY31)</f>
        <v>-2074.6666666666665</v>
      </c>
      <c r="BA31" s="139"/>
      <c r="BB31" s="139"/>
      <c r="BC31" s="139"/>
      <c r="BD31" s="139"/>
      <c r="BE31" s="139"/>
      <c r="BF31" s="139"/>
      <c r="BG31" s="139"/>
      <c r="BH31" s="139"/>
      <c r="BI31" s="139"/>
    </row>
    <row r="32" spans="1:52" ht="12">
      <c r="A32" s="25" t="s">
        <v>43</v>
      </c>
      <c r="C32" s="42">
        <v>-225330</v>
      </c>
      <c r="D32" s="42">
        <v>-216691</v>
      </c>
      <c r="E32" s="42">
        <v>-213919</v>
      </c>
      <c r="F32" s="42"/>
      <c r="G32" s="43"/>
      <c r="H32" s="25" t="s">
        <v>80</v>
      </c>
      <c r="K32" s="25">
        <v>-15.7</v>
      </c>
      <c r="L32" s="25">
        <v>-8.4</v>
      </c>
      <c r="Q32" s="25" t="s">
        <v>75</v>
      </c>
      <c r="S32" s="132">
        <f>T32-X32</f>
        <v>213.60000000000002</v>
      </c>
      <c r="T32" s="42">
        <v>118.4</v>
      </c>
      <c r="U32" s="42">
        <v>-32.1</v>
      </c>
      <c r="V32" s="42">
        <v>210</v>
      </c>
      <c r="W32" s="42">
        <v>93</v>
      </c>
      <c r="X32" s="42">
        <v>-95.2</v>
      </c>
      <c r="Y32" s="53">
        <f>AVERAGE(T32:X32)</f>
        <v>58.82000000000001</v>
      </c>
      <c r="Z32" s="25" t="s">
        <v>79</v>
      </c>
      <c r="AB32" s="132">
        <f>AC32-AF32</f>
        <v>2358</v>
      </c>
      <c r="AC32" s="42">
        <v>2358</v>
      </c>
      <c r="AD32" s="42">
        <v>2492</v>
      </c>
      <c r="AE32" s="42">
        <v>12292</v>
      </c>
      <c r="AF32" s="42"/>
      <c r="AG32" s="42"/>
      <c r="AH32" s="53">
        <f>AVERAGE(AC32:AG32)</f>
        <v>5714</v>
      </c>
      <c r="AI32" s="25" t="s">
        <v>75</v>
      </c>
      <c r="AJ32" s="25"/>
      <c r="AK32" s="132">
        <f>AL32-AM32</f>
        <v>756</v>
      </c>
      <c r="AL32" s="42">
        <f t="shared" si="15"/>
        <v>390</v>
      </c>
      <c r="AM32" s="42">
        <f t="shared" si="15"/>
        <v>-366</v>
      </c>
      <c r="AN32" s="42">
        <f t="shared" si="15"/>
        <v>590</v>
      </c>
      <c r="AO32" s="42">
        <f t="shared" si="15"/>
        <v>0</v>
      </c>
      <c r="AP32" s="42">
        <f t="shared" si="15"/>
        <v>0</v>
      </c>
      <c r="AQ32" s="53">
        <f>AVERAGE(AL32:AP32)</f>
        <v>122.8</v>
      </c>
      <c r="AR32" s="25" t="s">
        <v>75</v>
      </c>
      <c r="AT32" s="132">
        <f>AU32-AV32</f>
        <v>-2889</v>
      </c>
      <c r="AU32" s="42">
        <v>-6675</v>
      </c>
      <c r="AV32" s="42">
        <v>-3786</v>
      </c>
      <c r="AW32" s="42">
        <v>-2675</v>
      </c>
      <c r="AX32" s="42"/>
      <c r="AY32" s="42"/>
      <c r="AZ32" s="53">
        <f>AVERAGE(AU32:AY32)</f>
        <v>-4378.666666666667</v>
      </c>
    </row>
    <row r="33" spans="1:52" ht="12">
      <c r="A33" s="25" t="s">
        <v>44</v>
      </c>
      <c r="C33" s="42">
        <v>-24944</v>
      </c>
      <c r="D33" s="42">
        <v>-50618</v>
      </c>
      <c r="E33" s="42">
        <v>-94622</v>
      </c>
      <c r="F33" s="42"/>
      <c r="G33" s="43"/>
      <c r="H33" s="25" t="s">
        <v>75</v>
      </c>
      <c r="K33" s="25">
        <v>-7.6</v>
      </c>
      <c r="L33" s="25">
        <v>-16.4</v>
      </c>
      <c r="Q33" s="25" t="s">
        <v>64</v>
      </c>
      <c r="S33" s="132">
        <f>T33-X33</f>
        <v>222.70000000000005</v>
      </c>
      <c r="T33" s="42">
        <v>976.1</v>
      </c>
      <c r="U33" s="42">
        <v>789</v>
      </c>
      <c r="V33" s="42">
        <v>604.5</v>
      </c>
      <c r="W33" s="42">
        <v>496.5</v>
      </c>
      <c r="X33" s="42">
        <v>753.4</v>
      </c>
      <c r="Y33" s="53">
        <f>AVERAGE(T33:X33)</f>
        <v>723.9</v>
      </c>
      <c r="Z33" s="25" t="s">
        <v>80</v>
      </c>
      <c r="AB33" s="132">
        <f>AC33-AE33</f>
        <v>705</v>
      </c>
      <c r="AC33" s="42">
        <v>1506</v>
      </c>
      <c r="AD33" s="42">
        <v>395</v>
      </c>
      <c r="AE33" s="42">
        <v>801</v>
      </c>
      <c r="AF33" s="42"/>
      <c r="AG33" s="42"/>
      <c r="AH33" s="53">
        <f>AVERAGE(AC33:AG33)</f>
        <v>900.6666666666666</v>
      </c>
      <c r="AI33" s="25" t="s">
        <v>64</v>
      </c>
      <c r="AJ33" s="25"/>
      <c r="AK33" s="132">
        <f>AL33-AM33</f>
        <v>2094</v>
      </c>
      <c r="AL33" s="42">
        <f>2*AC36</f>
        <v>12636</v>
      </c>
      <c r="AM33" s="42">
        <f>2*AD36</f>
        <v>10542</v>
      </c>
      <c r="AN33" s="42">
        <f>2*AE36</f>
        <v>6716</v>
      </c>
      <c r="AO33" s="42">
        <f>2*AF36</f>
        <v>7104</v>
      </c>
      <c r="AP33" s="42">
        <f>2*AG36</f>
        <v>0</v>
      </c>
      <c r="AQ33" s="53">
        <f>AVERAGE(AL33:AP33)</f>
        <v>7399.6</v>
      </c>
      <c r="AR33" s="25" t="s">
        <v>64</v>
      </c>
      <c r="AT33" s="132">
        <f>AU33-AV33</f>
        <v>-339</v>
      </c>
      <c r="AU33" s="42">
        <v>2980</v>
      </c>
      <c r="AV33" s="42">
        <v>3319</v>
      </c>
      <c r="AW33" s="42">
        <v>2781</v>
      </c>
      <c r="AX33" s="42"/>
      <c r="AY33" s="42"/>
      <c r="AZ33" s="53">
        <f>AVERAGE(AU33:AY33)</f>
        <v>3026.6666666666665</v>
      </c>
    </row>
    <row r="34" spans="1:52" ht="12">
      <c r="A34" s="25" t="s">
        <v>45</v>
      </c>
      <c r="C34" s="42">
        <v>13487</v>
      </c>
      <c r="D34" s="42">
        <v>22812</v>
      </c>
      <c r="E34" s="42">
        <v>51387</v>
      </c>
      <c r="H34" s="25" t="s">
        <v>76</v>
      </c>
      <c r="K34" s="25">
        <v>0.1</v>
      </c>
      <c r="Z34" s="25" t="s">
        <v>75</v>
      </c>
      <c r="AB34" s="132">
        <f>AC34-AF34</f>
        <v>195</v>
      </c>
      <c r="AC34" s="42">
        <v>195</v>
      </c>
      <c r="AD34" s="42">
        <v>-183</v>
      </c>
      <c r="AE34" s="42">
        <v>295</v>
      </c>
      <c r="AF34" s="42"/>
      <c r="AG34" s="42"/>
      <c r="AH34" s="53">
        <f>AVERAGE(AC34:AG34)</f>
        <v>102.33333333333333</v>
      </c>
      <c r="AI34" s="25"/>
      <c r="AJ34" s="25"/>
      <c r="AK34" s="25"/>
      <c r="AL34" s="25"/>
      <c r="AM34" s="25"/>
      <c r="AN34" s="25"/>
      <c r="AO34" s="25"/>
      <c r="AP34" s="25"/>
      <c r="AQ34" s="137"/>
      <c r="AZ34" s="137"/>
    </row>
    <row r="35" spans="1:52" ht="12">
      <c r="A35" s="25" t="s">
        <v>46</v>
      </c>
      <c r="C35" s="42">
        <v>100131</v>
      </c>
      <c r="D35" s="42">
        <v>-113680</v>
      </c>
      <c r="E35" s="42">
        <v>-60626</v>
      </c>
      <c r="H35" s="25" t="s">
        <v>63</v>
      </c>
      <c r="K35" s="25">
        <v>22</v>
      </c>
      <c r="L35" s="25">
        <v>39.8</v>
      </c>
      <c r="Q35" s="139" t="s">
        <v>282</v>
      </c>
      <c r="R35" s="133"/>
      <c r="S35" s="133"/>
      <c r="T35" s="28" t="s">
        <v>71</v>
      </c>
      <c r="U35" s="28" t="s">
        <v>71</v>
      </c>
      <c r="V35" s="28" t="s">
        <v>71</v>
      </c>
      <c r="W35" s="28" t="s">
        <v>71</v>
      </c>
      <c r="X35" s="28" t="s">
        <v>71</v>
      </c>
      <c r="Y35" s="138" t="s">
        <v>71</v>
      </c>
      <c r="Z35" s="25" t="s">
        <v>63</v>
      </c>
      <c r="AB35" s="132">
        <f>AC35-AF35</f>
        <v>5271</v>
      </c>
      <c r="AC35" s="42">
        <v>5271</v>
      </c>
      <c r="AD35" s="42">
        <v>3358</v>
      </c>
      <c r="AE35" s="42">
        <v>3552</v>
      </c>
      <c r="AF35" s="42"/>
      <c r="AG35" s="42"/>
      <c r="AH35" s="53">
        <f>AVERAGE(AC35:AG35)</f>
        <v>4060.3333333333335</v>
      </c>
      <c r="AI35" s="139" t="s">
        <v>282</v>
      </c>
      <c r="AL35" s="28" t="s">
        <v>71</v>
      </c>
      <c r="AM35" s="28" t="s">
        <v>71</v>
      </c>
      <c r="AN35" s="28" t="s">
        <v>71</v>
      </c>
      <c r="AO35" s="28" t="s">
        <v>71</v>
      </c>
      <c r="AP35" s="28" t="s">
        <v>71</v>
      </c>
      <c r="AQ35" s="138" t="s">
        <v>71</v>
      </c>
      <c r="AR35" s="139" t="s">
        <v>282</v>
      </c>
      <c r="AS35" s="133"/>
      <c r="AT35" s="133"/>
      <c r="AU35" s="28" t="s">
        <v>71</v>
      </c>
      <c r="AV35" s="28" t="s">
        <v>71</v>
      </c>
      <c r="AW35" s="28" t="s">
        <v>71</v>
      </c>
      <c r="AX35" s="28" t="s">
        <v>71</v>
      </c>
      <c r="AY35" s="28" t="s">
        <v>71</v>
      </c>
      <c r="AZ35" s="138" t="s">
        <v>71</v>
      </c>
    </row>
    <row r="36" spans="1:52" ht="12">
      <c r="A36" s="25" t="s">
        <v>47</v>
      </c>
      <c r="C36" s="42">
        <v>-14955</v>
      </c>
      <c r="D36" s="42">
        <v>0</v>
      </c>
      <c r="E36" s="42">
        <v>0</v>
      </c>
      <c r="H36" s="25" t="s">
        <v>64</v>
      </c>
      <c r="K36" s="25">
        <v>22.4</v>
      </c>
      <c r="L36" s="25">
        <v>22</v>
      </c>
      <c r="Q36" s="133"/>
      <c r="R36" s="133"/>
      <c r="S36" s="133"/>
      <c r="T36" s="28" t="s">
        <v>38</v>
      </c>
      <c r="U36" s="28" t="s">
        <v>38</v>
      </c>
      <c r="V36" s="28" t="s">
        <v>38</v>
      </c>
      <c r="W36" s="28" t="s">
        <v>38</v>
      </c>
      <c r="X36" s="28" t="s">
        <v>38</v>
      </c>
      <c r="Y36" s="143" t="s">
        <v>38</v>
      </c>
      <c r="Z36" s="25" t="s">
        <v>64</v>
      </c>
      <c r="AB36" s="132">
        <f>AC36-AF36</f>
        <v>2766</v>
      </c>
      <c r="AC36" s="42">
        <v>6318</v>
      </c>
      <c r="AD36" s="42">
        <v>5271</v>
      </c>
      <c r="AE36" s="42">
        <v>3358</v>
      </c>
      <c r="AF36" s="42">
        <v>3552</v>
      </c>
      <c r="AG36" s="42"/>
      <c r="AH36" s="53">
        <f>AVERAGE(AC36:AG36)</f>
        <v>4624.75</v>
      </c>
      <c r="AL36" s="28" t="s">
        <v>38</v>
      </c>
      <c r="AM36" s="28" t="s">
        <v>38</v>
      </c>
      <c r="AN36" s="28" t="s">
        <v>38</v>
      </c>
      <c r="AO36" s="28" t="s">
        <v>38</v>
      </c>
      <c r="AP36" s="28" t="s">
        <v>38</v>
      </c>
      <c r="AQ36" s="143" t="s">
        <v>38</v>
      </c>
      <c r="AR36" s="133"/>
      <c r="AS36" s="133"/>
      <c r="AT36" s="133"/>
      <c r="AU36" s="28" t="s">
        <v>38</v>
      </c>
      <c r="AV36" s="28" t="s">
        <v>38</v>
      </c>
      <c r="AW36" s="28" t="s">
        <v>38</v>
      </c>
      <c r="AX36" s="28" t="s">
        <v>38</v>
      </c>
      <c r="AY36" s="28" t="s">
        <v>38</v>
      </c>
      <c r="AZ36" s="143" t="s">
        <v>38</v>
      </c>
    </row>
    <row r="37" spans="1:52" ht="12">
      <c r="A37" s="25" t="s">
        <v>48</v>
      </c>
      <c r="C37" s="42">
        <v>-12483</v>
      </c>
      <c r="D37" s="42">
        <v>-58346</v>
      </c>
      <c r="E37" s="42">
        <v>-175054</v>
      </c>
      <c r="Q37" s="25" t="s">
        <v>283</v>
      </c>
      <c r="R37" s="22"/>
      <c r="S37" s="132">
        <f>T37-X37</f>
        <v>57</v>
      </c>
      <c r="T37" s="25">
        <v>78</v>
      </c>
      <c r="U37" s="25">
        <v>77</v>
      </c>
      <c r="V37" s="25">
        <v>77</v>
      </c>
      <c r="W37" s="25">
        <v>54</v>
      </c>
      <c r="X37" s="25">
        <v>21</v>
      </c>
      <c r="Y37" s="53">
        <f>AVERAGE(T37:X37)</f>
        <v>61.4</v>
      </c>
      <c r="AH37" s="137"/>
      <c r="AI37" s="25" t="s">
        <v>283</v>
      </c>
      <c r="AJ37" s="22"/>
      <c r="AK37" s="132">
        <f>AL37-AP37</f>
        <v>112</v>
      </c>
      <c r="AL37" s="25">
        <v>181</v>
      </c>
      <c r="AM37" s="25">
        <v>156</v>
      </c>
      <c r="AN37" s="25">
        <v>146</v>
      </c>
      <c r="AO37" s="25">
        <v>122</v>
      </c>
      <c r="AP37" s="25">
        <v>69</v>
      </c>
      <c r="AQ37" s="53">
        <f>AVERAGE(AL37:AP37)</f>
        <v>134.8</v>
      </c>
      <c r="AR37" s="25" t="s">
        <v>283</v>
      </c>
      <c r="AS37" s="22"/>
      <c r="AT37" s="132">
        <f>AU37-AY37</f>
        <v>-176</v>
      </c>
      <c r="AU37" s="42">
        <v>2134</v>
      </c>
      <c r="AV37" s="42">
        <v>2572</v>
      </c>
      <c r="AW37" s="42">
        <v>2590</v>
      </c>
      <c r="AX37" s="42">
        <v>2267</v>
      </c>
      <c r="AY37" s="42">
        <v>2310</v>
      </c>
      <c r="AZ37" s="53">
        <f>AVERAGE(AU37:AY37)</f>
        <v>2374.6</v>
      </c>
    </row>
    <row r="38" spans="1:61" s="22" customFormat="1" ht="12.75" thickBot="1">
      <c r="A38" s="22" t="s">
        <v>84</v>
      </c>
      <c r="C38" s="45">
        <f>C30+SUM(C32:C37)</f>
        <v>343693</v>
      </c>
      <c r="D38" s="45">
        <f>D30+SUM(D32:D37)</f>
        <v>-70181</v>
      </c>
      <c r="E38" s="45">
        <f>E30+SUM(E32:E37)</f>
        <v>-232172</v>
      </c>
      <c r="F38" s="45">
        <f>F30+SUM(F32:F37)</f>
        <v>0</v>
      </c>
      <c r="G38" s="45">
        <f>G30+SUM(G32:G37)</f>
        <v>0</v>
      </c>
      <c r="H38" s="25"/>
      <c r="I38" s="25"/>
      <c r="J38" s="25"/>
      <c r="K38" s="28" t="s">
        <v>71</v>
      </c>
      <c r="L38" s="28" t="s">
        <v>71</v>
      </c>
      <c r="M38" s="28" t="s">
        <v>71</v>
      </c>
      <c r="N38" s="28" t="s">
        <v>71</v>
      </c>
      <c r="O38" s="28" t="s">
        <v>71</v>
      </c>
      <c r="P38" s="29"/>
      <c r="Q38" s="133" t="s">
        <v>284</v>
      </c>
      <c r="R38" s="133"/>
      <c r="S38" s="132">
        <f>T38-X38</f>
        <v>225</v>
      </c>
      <c r="T38" s="133">
        <v>692</v>
      </c>
      <c r="U38" s="133">
        <v>582</v>
      </c>
      <c r="V38" s="133">
        <v>528</v>
      </c>
      <c r="W38" s="133">
        <v>570</v>
      </c>
      <c r="X38" s="133">
        <v>467</v>
      </c>
      <c r="Y38" s="53">
        <f>AVERAGE(T38:X38)</f>
        <v>567.8</v>
      </c>
      <c r="Z38" s="25"/>
      <c r="AA38" s="25"/>
      <c r="AB38" s="25"/>
      <c r="AC38" s="28" t="s">
        <v>71</v>
      </c>
      <c r="AD38" s="28" t="s">
        <v>71</v>
      </c>
      <c r="AE38" s="28" t="s">
        <v>71</v>
      </c>
      <c r="AF38" s="28" t="s">
        <v>71</v>
      </c>
      <c r="AG38" s="28" t="s">
        <v>71</v>
      </c>
      <c r="AH38" s="138" t="s">
        <v>71</v>
      </c>
      <c r="AI38" s="133" t="s">
        <v>284</v>
      </c>
      <c r="AJ38" s="133"/>
      <c r="AK38" s="132">
        <f>AL38-AP38</f>
        <v>89</v>
      </c>
      <c r="AL38" s="133">
        <v>394</v>
      </c>
      <c r="AM38" s="133">
        <v>361</v>
      </c>
      <c r="AN38" s="133">
        <v>341</v>
      </c>
      <c r="AO38" s="133">
        <v>305</v>
      </c>
      <c r="AP38" s="133">
        <v>305</v>
      </c>
      <c r="AQ38" s="53">
        <f>AVERAGE(AL38:AP38)</f>
        <v>341.2</v>
      </c>
      <c r="AR38" s="133" t="s">
        <v>284</v>
      </c>
      <c r="AS38" s="133"/>
      <c r="AT38" s="132">
        <f>AU38-AY38</f>
        <v>6967</v>
      </c>
      <c r="AU38" s="42">
        <v>23498</v>
      </c>
      <c r="AV38" s="42">
        <v>30796</v>
      </c>
      <c r="AW38" s="42">
        <v>31155</v>
      </c>
      <c r="AX38" s="42">
        <v>24379</v>
      </c>
      <c r="AY38" s="42">
        <v>16531</v>
      </c>
      <c r="AZ38" s="53">
        <f>AVERAGE(AU38:AY38)</f>
        <v>25271.8</v>
      </c>
      <c r="BA38" s="139"/>
      <c r="BB38" s="139"/>
      <c r="BC38" s="139"/>
      <c r="BD38" s="139"/>
      <c r="BE38" s="139"/>
      <c r="BF38" s="139"/>
      <c r="BG38" s="139"/>
      <c r="BH38" s="139"/>
      <c r="BI38" s="139"/>
    </row>
    <row r="39" spans="1:52" ht="12.75" thickTop="1">
      <c r="A39" s="25" t="s">
        <v>55</v>
      </c>
      <c r="C39" s="43">
        <v>-81709</v>
      </c>
      <c r="D39" s="43">
        <v>-39568</v>
      </c>
      <c r="E39" s="43">
        <v>-53122</v>
      </c>
      <c r="F39" s="43"/>
      <c r="G39" s="43"/>
      <c r="H39" s="22"/>
      <c r="I39" s="22"/>
      <c r="J39" s="22"/>
      <c r="K39" s="28" t="s">
        <v>68</v>
      </c>
      <c r="L39" s="28" t="s">
        <v>68</v>
      </c>
      <c r="M39" s="28" t="s">
        <v>68</v>
      </c>
      <c r="N39" s="28" t="s">
        <v>68</v>
      </c>
      <c r="O39" s="28" t="s">
        <v>68</v>
      </c>
      <c r="P39" s="29"/>
      <c r="R39" s="22"/>
      <c r="S39" s="132"/>
      <c r="Y39" s="53"/>
      <c r="Z39" s="22"/>
      <c r="AA39" s="22"/>
      <c r="AB39" s="22"/>
      <c r="AC39" s="28" t="s">
        <v>68</v>
      </c>
      <c r="AD39" s="28" t="s">
        <v>68</v>
      </c>
      <c r="AE39" s="28" t="s">
        <v>68</v>
      </c>
      <c r="AF39" s="28" t="s">
        <v>68</v>
      </c>
      <c r="AG39" s="28" t="s">
        <v>68</v>
      </c>
      <c r="AH39" s="138" t="s">
        <v>68</v>
      </c>
      <c r="AI39" s="25"/>
      <c r="AJ39" s="22"/>
      <c r="AK39" s="132"/>
      <c r="AL39" s="25"/>
      <c r="AM39" s="25"/>
      <c r="AN39" s="25"/>
      <c r="AO39" s="25"/>
      <c r="AP39" s="25"/>
      <c r="AQ39" s="53"/>
      <c r="AS39" s="22"/>
      <c r="AT39" s="132"/>
      <c r="AU39" s="42"/>
      <c r="AV39" s="42"/>
      <c r="AW39" s="42"/>
      <c r="AX39" s="42"/>
      <c r="AY39" s="42"/>
      <c r="AZ39" s="53"/>
    </row>
    <row r="40" spans="1:61" s="22" customFormat="1" ht="12.75" thickBot="1">
      <c r="A40" s="22" t="s">
        <v>56</v>
      </c>
      <c r="C40" s="45">
        <f>C38+C39</f>
        <v>261984</v>
      </c>
      <c r="D40" s="45">
        <f>D38+D39</f>
        <v>-109749</v>
      </c>
      <c r="E40" s="45">
        <f>E38+E39</f>
        <v>-285294</v>
      </c>
      <c r="F40" s="45">
        <f>F38+F39</f>
        <v>0</v>
      </c>
      <c r="G40" s="45">
        <f>G38+G39</f>
        <v>0</v>
      </c>
      <c r="H40" s="22" t="s">
        <v>102</v>
      </c>
      <c r="I40" s="25"/>
      <c r="J40" s="25"/>
      <c r="K40" s="33">
        <f>K12-K13</f>
        <v>133.4</v>
      </c>
      <c r="L40" s="33">
        <f>L12-L13</f>
        <v>121.60000000000001</v>
      </c>
      <c r="M40" s="33">
        <f>M18-M19</f>
        <v>0</v>
      </c>
      <c r="N40" s="33">
        <f>N18-N19</f>
        <v>0</v>
      </c>
      <c r="O40" s="33">
        <f>O18-O19</f>
        <v>0</v>
      </c>
      <c r="P40" s="47"/>
      <c r="Q40" s="25"/>
      <c r="R40" s="25"/>
      <c r="S40" s="25"/>
      <c r="T40" s="25"/>
      <c r="U40" s="25"/>
      <c r="V40" s="25"/>
      <c r="W40" s="25"/>
      <c r="X40" s="25"/>
      <c r="Y40" s="137"/>
      <c r="Z40" s="22" t="s">
        <v>102</v>
      </c>
      <c r="AA40" s="25"/>
      <c r="AB40" s="132">
        <f>AC40-AG40</f>
        <v>56123</v>
      </c>
      <c r="AC40" s="42">
        <f>AC12-AC13</f>
        <v>69541</v>
      </c>
      <c r="AD40" s="42">
        <f>AD12-AD13</f>
        <v>56610</v>
      </c>
      <c r="AE40" s="42">
        <f>AE12-AE13</f>
        <v>43226</v>
      </c>
      <c r="AF40" s="42">
        <f>AF12-AF13</f>
        <v>31685</v>
      </c>
      <c r="AG40" s="42">
        <f>AG12-AG13</f>
        <v>13418</v>
      </c>
      <c r="AH40" s="53">
        <f>AVERAGE(AC40:AG40)</f>
        <v>42896</v>
      </c>
      <c r="AI40" s="133"/>
      <c r="AJ40" s="133"/>
      <c r="AK40" s="133"/>
      <c r="AL40" s="133"/>
      <c r="AM40" s="133"/>
      <c r="AN40" s="133"/>
      <c r="AO40" s="133"/>
      <c r="AP40" s="133"/>
      <c r="AQ40" s="133"/>
      <c r="AR40" s="25"/>
      <c r="AS40" s="25"/>
      <c r="AT40" s="25"/>
      <c r="AU40" s="25"/>
      <c r="AV40" s="25"/>
      <c r="AW40" s="25"/>
      <c r="AX40" s="25"/>
      <c r="AY40" s="25"/>
      <c r="AZ40" s="133"/>
      <c r="BA40" s="139"/>
      <c r="BB40" s="139"/>
      <c r="BC40" s="139"/>
      <c r="BD40" s="139"/>
      <c r="BE40" s="139"/>
      <c r="BF40" s="139"/>
      <c r="BG40" s="139"/>
      <c r="BH40" s="139"/>
      <c r="BI40" s="139"/>
    </row>
    <row r="41" spans="1:34" ht="12.75" thickTop="1">
      <c r="A41" s="25" t="s">
        <v>57</v>
      </c>
      <c r="C41" s="43">
        <v>72041</v>
      </c>
      <c r="D41" s="43">
        <v>-18053</v>
      </c>
      <c r="E41" s="43">
        <v>7256</v>
      </c>
      <c r="F41" s="43"/>
      <c r="G41" s="43"/>
      <c r="H41" s="22" t="s">
        <v>103</v>
      </c>
      <c r="K41" s="33">
        <f>K16-K17</f>
        <v>15.199999999999989</v>
      </c>
      <c r="L41" s="33">
        <f>L16-L17</f>
        <v>20.5</v>
      </c>
      <c r="M41" s="33">
        <f>M15-M16</f>
        <v>0</v>
      </c>
      <c r="N41" s="33">
        <f>N15-N16</f>
        <v>0</v>
      </c>
      <c r="O41" s="33">
        <f>O15-O16</f>
        <v>0</v>
      </c>
      <c r="P41" s="47"/>
      <c r="Z41" s="22" t="s">
        <v>104</v>
      </c>
      <c r="AB41" s="132">
        <f>AC41-AG41</f>
        <v>-55667</v>
      </c>
      <c r="AC41" s="42">
        <f>AC17-AC40</f>
        <v>-68524</v>
      </c>
      <c r="AD41" s="42">
        <f>AD17-AD40</f>
        <v>-55785</v>
      </c>
      <c r="AE41" s="42">
        <f>AE17-AE40</f>
        <v>-42507</v>
      </c>
      <c r="AF41" s="42">
        <f>AF17-AF40</f>
        <v>-31025</v>
      </c>
      <c r="AG41" s="42">
        <f>AG17-AG40</f>
        <v>-12857</v>
      </c>
      <c r="AH41" s="53">
        <f>AVERAGE(AC41:AG41)</f>
        <v>-42139.6</v>
      </c>
    </row>
    <row r="42" spans="1:52" ht="12">
      <c r="A42" s="25" t="s">
        <v>58</v>
      </c>
      <c r="C42" s="43">
        <v>334025</v>
      </c>
      <c r="D42" s="43">
        <v>-127802</v>
      </c>
      <c r="E42" s="43">
        <v>-278038</v>
      </c>
      <c r="F42" s="43"/>
      <c r="G42" s="43"/>
      <c r="H42" s="22" t="s">
        <v>104</v>
      </c>
      <c r="K42" s="33">
        <f>K16/K40</f>
        <v>2.6784107946026987</v>
      </c>
      <c r="L42" s="33">
        <f>L16/L40</f>
        <v>3.095394736842105</v>
      </c>
      <c r="M42" s="33" t="e">
        <f>M16/M40</f>
        <v>#DIV/0!</v>
      </c>
      <c r="N42" s="33" t="e">
        <f>N16/N40</f>
        <v>#DIV/0!</v>
      </c>
      <c r="O42" s="33" t="e">
        <f>O16/O40</f>
        <v>#DIV/0!</v>
      </c>
      <c r="P42" s="47"/>
      <c r="T42" s="28" t="s">
        <v>71</v>
      </c>
      <c r="U42" s="28" t="s">
        <v>71</v>
      </c>
      <c r="V42" s="28" t="s">
        <v>71</v>
      </c>
      <c r="W42" s="28" t="s">
        <v>71</v>
      </c>
      <c r="X42" s="28" t="s">
        <v>71</v>
      </c>
      <c r="Y42" s="138" t="s">
        <v>71</v>
      </c>
      <c r="Z42" s="22"/>
      <c r="AC42" s="33"/>
      <c r="AD42" s="33"/>
      <c r="AE42" s="33"/>
      <c r="AF42" s="33"/>
      <c r="AG42" s="33"/>
      <c r="AH42" s="140"/>
      <c r="AI42" s="25"/>
      <c r="AJ42" s="25"/>
      <c r="AK42" s="25"/>
      <c r="AL42" s="28" t="s">
        <v>71</v>
      </c>
      <c r="AM42" s="28" t="s">
        <v>71</v>
      </c>
      <c r="AN42" s="28" t="s">
        <v>71</v>
      </c>
      <c r="AO42" s="28" t="s">
        <v>71</v>
      </c>
      <c r="AP42" s="28" t="s">
        <v>71</v>
      </c>
      <c r="AQ42" s="138" t="s">
        <v>71</v>
      </c>
      <c r="AU42" s="28" t="s">
        <v>71</v>
      </c>
      <c r="AV42" s="28" t="s">
        <v>71</v>
      </c>
      <c r="AW42" s="28" t="s">
        <v>71</v>
      </c>
      <c r="AX42" s="28" t="s">
        <v>71</v>
      </c>
      <c r="AY42" s="28" t="s">
        <v>71</v>
      </c>
      <c r="AZ42" s="138" t="s">
        <v>71</v>
      </c>
    </row>
    <row r="43" spans="3:52" ht="12">
      <c r="C43" s="43"/>
      <c r="D43" s="43"/>
      <c r="E43" s="43"/>
      <c r="F43" s="43"/>
      <c r="G43" s="43"/>
      <c r="H43" s="22"/>
      <c r="K43" s="33"/>
      <c r="L43" s="33"/>
      <c r="M43" s="33"/>
      <c r="N43" s="33"/>
      <c r="O43" s="33"/>
      <c r="P43" s="47"/>
      <c r="Q43" s="22"/>
      <c r="R43" s="22"/>
      <c r="S43" s="22"/>
      <c r="T43" s="28" t="s">
        <v>38</v>
      </c>
      <c r="U43" s="28" t="s">
        <v>38</v>
      </c>
      <c r="V43" s="28" t="s">
        <v>38</v>
      </c>
      <c r="W43" s="28" t="s">
        <v>38</v>
      </c>
      <c r="X43" s="28" t="s">
        <v>38</v>
      </c>
      <c r="Y43" s="138" t="s">
        <v>38</v>
      </c>
      <c r="Z43" s="22"/>
      <c r="AC43" s="48" t="s">
        <v>105</v>
      </c>
      <c r="AD43" s="48" t="s">
        <v>105</v>
      </c>
      <c r="AE43" s="48" t="s">
        <v>105</v>
      </c>
      <c r="AF43" s="48" t="s">
        <v>105</v>
      </c>
      <c r="AG43" s="48" t="s">
        <v>105</v>
      </c>
      <c r="AH43" s="141" t="s">
        <v>105</v>
      </c>
      <c r="AI43" s="22"/>
      <c r="AJ43" s="22"/>
      <c r="AK43" s="22"/>
      <c r="AL43" s="28" t="s">
        <v>38</v>
      </c>
      <c r="AM43" s="28" t="s">
        <v>38</v>
      </c>
      <c r="AN43" s="28" t="s">
        <v>38</v>
      </c>
      <c r="AO43" s="28" t="s">
        <v>38</v>
      </c>
      <c r="AP43" s="28" t="s">
        <v>38</v>
      </c>
      <c r="AQ43" s="143" t="s">
        <v>38</v>
      </c>
      <c r="AR43" s="22"/>
      <c r="AS43" s="22"/>
      <c r="AT43" s="22"/>
      <c r="AU43" s="28" t="s">
        <v>38</v>
      </c>
      <c r="AV43" s="28" t="s">
        <v>38</v>
      </c>
      <c r="AW43" s="28" t="s">
        <v>38</v>
      </c>
      <c r="AX43" s="28" t="s">
        <v>38</v>
      </c>
      <c r="AY43" s="28" t="s">
        <v>38</v>
      </c>
      <c r="AZ43" s="143" t="s">
        <v>38</v>
      </c>
    </row>
    <row r="44" spans="3:52" ht="12">
      <c r="C44" s="43"/>
      <c r="D44" s="43"/>
      <c r="E44" s="43"/>
      <c r="F44" s="43"/>
      <c r="G44" s="43"/>
      <c r="H44" s="22"/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9"/>
      <c r="Q44" s="22" t="s">
        <v>102</v>
      </c>
      <c r="S44" s="132">
        <f>T44-X44</f>
        <v>1082.5999999999997</v>
      </c>
      <c r="T44" s="42">
        <f>T12-T13</f>
        <v>2468.5999999999995</v>
      </c>
      <c r="U44" s="42">
        <f>U12-U13</f>
        <v>2235.0999999999995</v>
      </c>
      <c r="V44" s="42">
        <f>V12-V13</f>
        <v>2205.6</v>
      </c>
      <c r="W44" s="42">
        <f>W12-W13</f>
        <v>1620.3000000000002</v>
      </c>
      <c r="X44" s="42">
        <f>X12-X13</f>
        <v>1385.9999999999998</v>
      </c>
      <c r="Y44" s="53">
        <f>AVERAGE(T44:X44)</f>
        <v>1983.1199999999997</v>
      </c>
      <c r="Z44" s="22" t="s">
        <v>53</v>
      </c>
      <c r="AB44" s="44">
        <f aca="true" t="shared" si="16" ref="AB44:AB50">AC44-AG44</f>
        <v>-102.80518648343994</v>
      </c>
      <c r="AC44" s="51">
        <f>(AC14/AC40)*100</f>
        <v>140.6364590673128</v>
      </c>
      <c r="AD44" s="51">
        <f>(AD14/AD40)*100</f>
        <v>141.48913619501855</v>
      </c>
      <c r="AE44" s="51">
        <f>(AE14/AE40)*100</f>
        <v>146.53911997408966</v>
      </c>
      <c r="AF44" s="51">
        <f>(AF14/AF40)*100</f>
        <v>117.12482247120089</v>
      </c>
      <c r="AG44" s="51">
        <f>(AG14/AG40)*100</f>
        <v>243.44164555075275</v>
      </c>
      <c r="AH44" s="140">
        <f aca="true" t="shared" si="17" ref="AH44:AH50">AVERAGE(AC44:AG44)</f>
        <v>157.84623665167493</v>
      </c>
      <c r="AI44" s="22" t="s">
        <v>102</v>
      </c>
      <c r="AJ44" s="25"/>
      <c r="AK44" s="132">
        <f>AL44-AP44</f>
        <v>112246</v>
      </c>
      <c r="AL44" s="42">
        <f>AL12-AL13</f>
        <v>139082</v>
      </c>
      <c r="AM44" s="42">
        <f>AM12-AM13</f>
        <v>113220</v>
      </c>
      <c r="AN44" s="42">
        <f>AN12-AN13</f>
        <v>86452</v>
      </c>
      <c r="AO44" s="42">
        <f>AO12-AO13</f>
        <v>63370</v>
      </c>
      <c r="AP44" s="42">
        <f>AP12-AP13</f>
        <v>26836</v>
      </c>
      <c r="AQ44" s="53">
        <f>AVERAGE(AL44:AP44)</f>
        <v>85792</v>
      </c>
      <c r="AR44" s="22" t="s">
        <v>102</v>
      </c>
      <c r="AT44" s="132">
        <f>AU44-AY44</f>
        <v>10350</v>
      </c>
      <c r="AU44" s="42">
        <f>AU12-AU13</f>
        <v>37684</v>
      </c>
      <c r="AV44" s="42">
        <f>AV12-AV13</f>
        <v>42340</v>
      </c>
      <c r="AW44" s="42">
        <f>AW12-AW13</f>
        <v>50629</v>
      </c>
      <c r="AX44" s="42">
        <f>AX12-AX13</f>
        <v>43662</v>
      </c>
      <c r="AY44" s="42">
        <f>AY12-AY13</f>
        <v>27334</v>
      </c>
      <c r="AZ44" s="53">
        <f>AVERAGE(AU44:AY44)</f>
        <v>40329.8</v>
      </c>
    </row>
    <row r="45" spans="3:52" ht="12">
      <c r="C45" s="43"/>
      <c r="D45" s="43"/>
      <c r="E45" s="43"/>
      <c r="F45" s="43"/>
      <c r="G45" s="43"/>
      <c r="H45" s="22" t="s">
        <v>53</v>
      </c>
      <c r="K45" s="51">
        <f>(K14/K40)*100</f>
        <v>173.9880059970015</v>
      </c>
      <c r="L45" s="51">
        <f>(L14/L40)*100</f>
        <v>188.48684210526315</v>
      </c>
      <c r="M45" s="51" t="e">
        <f>(M14/M40)*100</f>
        <v>#DIV/0!</v>
      </c>
      <c r="N45" s="51" t="e">
        <f>(N14/N40)*100</f>
        <v>#DIV/0!</v>
      </c>
      <c r="O45" s="51" t="e">
        <f>(O14/O40)*100</f>
        <v>#DIV/0!</v>
      </c>
      <c r="P45" s="52"/>
      <c r="Q45" s="22" t="s">
        <v>104</v>
      </c>
      <c r="S45" s="44">
        <f>T45-X45</f>
        <v>-1.4823956279032027</v>
      </c>
      <c r="T45" s="33">
        <f>T17/T44</f>
        <v>5.703030057522484</v>
      </c>
      <c r="U45" s="33">
        <f>U17/U44</f>
        <v>5.8883271441993665</v>
      </c>
      <c r="V45" s="33">
        <f>V17/V44</f>
        <v>4.252947043888284</v>
      </c>
      <c r="W45" s="33">
        <f>W17/W44</f>
        <v>5.434610874529408</v>
      </c>
      <c r="X45" s="33">
        <f>X17/X44</f>
        <v>7.185425685425686</v>
      </c>
      <c r="Y45" s="140">
        <f>AVERAGE(T45:X45)</f>
        <v>5.692868161113045</v>
      </c>
      <c r="Z45" s="22" t="s">
        <v>54</v>
      </c>
      <c r="AB45" s="44">
        <f t="shared" si="16"/>
        <v>-0.13888419028916327</v>
      </c>
      <c r="AC45" s="51">
        <f>AC19/AC20</f>
        <v>0.15207373271889402</v>
      </c>
      <c r="AD45" s="51">
        <f>AD19/AD20</f>
        <v>0.14951573849878935</v>
      </c>
      <c r="AE45" s="51">
        <f>AE19/AE20</f>
        <v>0.1724137931034483</v>
      </c>
      <c r="AF45" s="51">
        <f>AF19/AF20</f>
        <v>0.3321888412017167</v>
      </c>
      <c r="AG45" s="51">
        <f>AG19/AG20</f>
        <v>0.2909579230080573</v>
      </c>
      <c r="AH45" s="140">
        <f t="shared" si="17"/>
        <v>0.21943000570618115</v>
      </c>
      <c r="AI45" s="22" t="s">
        <v>104</v>
      </c>
      <c r="AJ45" s="25"/>
      <c r="AK45" s="44">
        <f>AL45-AP45</f>
        <v>-0.027185043471675625</v>
      </c>
      <c r="AL45" s="33">
        <f>AL17/AL44</f>
        <v>0.01462446614227578</v>
      </c>
      <c r="AM45" s="33">
        <f>AM17/AM44</f>
        <v>0.014573396926338102</v>
      </c>
      <c r="AN45" s="33">
        <f>AN17/AN44</f>
        <v>0.01663350761115995</v>
      </c>
      <c r="AO45" s="33">
        <f>AO17/AO44</f>
        <v>0.020830045762979327</v>
      </c>
      <c r="AP45" s="33">
        <f>AP17/AP44</f>
        <v>0.041809509613951405</v>
      </c>
      <c r="AQ45" s="140">
        <f>AVERAGE(AL45:AP45)</f>
        <v>0.02169418521134091</v>
      </c>
      <c r="AR45" s="22" t="s">
        <v>104</v>
      </c>
      <c r="AT45" s="44">
        <f>AU45-AY45</f>
        <v>0.32354198951205737</v>
      </c>
      <c r="AU45" s="33">
        <f>AU17/AU44</f>
        <v>0.8776138414181085</v>
      </c>
      <c r="AV45" s="33">
        <f>AV17/AV44</f>
        <v>0.6951818611242324</v>
      </c>
      <c r="AW45" s="33">
        <f>AW17/AW44</f>
        <v>0.49240553832783585</v>
      </c>
      <c r="AX45" s="33">
        <f>AX17/AX44</f>
        <v>0.4268471439695845</v>
      </c>
      <c r="AY45" s="33">
        <f>AY17/AY44</f>
        <v>0.5540718519060511</v>
      </c>
      <c r="AZ45" s="140">
        <f>AVERAGE(AU45:AY45)</f>
        <v>0.6092240473491625</v>
      </c>
    </row>
    <row r="46" spans="1:52" ht="12">
      <c r="A46" s="25" t="s">
        <v>60</v>
      </c>
      <c r="F46" s="43"/>
      <c r="G46" s="43"/>
      <c r="H46" s="22" t="s">
        <v>54</v>
      </c>
      <c r="K46" s="51">
        <f>K18/-K19</f>
        <v>4.222222222222219</v>
      </c>
      <c r="L46" s="51">
        <f>L18/-L19</f>
        <v>4.8809523809523805</v>
      </c>
      <c r="M46" s="51" t="e">
        <f>M18/-M19</f>
        <v>#DIV/0!</v>
      </c>
      <c r="N46" s="51" t="e">
        <f>N18/-N19</f>
        <v>#DIV/0!</v>
      </c>
      <c r="O46" s="51" t="e">
        <f>O18/-O19</f>
        <v>#DIV/0!</v>
      </c>
      <c r="P46" s="52"/>
      <c r="Q46" s="22"/>
      <c r="T46" s="33"/>
      <c r="U46" s="33"/>
      <c r="V46" s="33"/>
      <c r="W46" s="33"/>
      <c r="X46" s="33"/>
      <c r="Z46" s="22" t="s">
        <v>97</v>
      </c>
      <c r="AB46" s="44">
        <f t="shared" si="16"/>
        <v>-5.144948647625938</v>
      </c>
      <c r="AC46" s="51">
        <f>(AC22/AC15)*100</f>
        <v>13.79632513235752</v>
      </c>
      <c r="AD46" s="51">
        <f>(AD22/AD15)*100</f>
        <v>13.366526235158943</v>
      </c>
      <c r="AE46" s="51">
        <f>(AE22/AE15)*100</f>
        <v>20.156046814044213</v>
      </c>
      <c r="AF46" s="51">
        <f>(AF22/AF15)*100</f>
        <v>20.44776119402985</v>
      </c>
      <c r="AG46" s="51">
        <f>(AG22/AG15)*100</f>
        <v>18.941273779983458</v>
      </c>
      <c r="AH46" s="140">
        <f t="shared" si="17"/>
        <v>17.3415866311148</v>
      </c>
      <c r="AI46" s="22"/>
      <c r="AJ46" s="25"/>
      <c r="AK46" s="25"/>
      <c r="AL46" s="33"/>
      <c r="AM46" s="33"/>
      <c r="AN46" s="33"/>
      <c r="AO46" s="33"/>
      <c r="AP46" s="33"/>
      <c r="AQ46" s="140"/>
      <c r="AR46" s="22"/>
      <c r="AU46" s="33"/>
      <c r="AV46" s="33"/>
      <c r="AW46" s="33"/>
      <c r="AX46" s="33"/>
      <c r="AY46" s="33"/>
      <c r="AZ46" s="140"/>
    </row>
    <row r="47" spans="2:52" ht="12">
      <c r="B47" s="25" t="s">
        <v>61</v>
      </c>
      <c r="C47" s="25">
        <v>3.65</v>
      </c>
      <c r="D47" s="25">
        <v>-2.36</v>
      </c>
      <c r="E47" s="25">
        <v>-57.84</v>
      </c>
      <c r="F47" s="43"/>
      <c r="G47" s="43"/>
      <c r="H47" s="22" t="s">
        <v>97</v>
      </c>
      <c r="K47" s="51">
        <f>(K21/K23)*100</f>
        <v>128.81355932203388</v>
      </c>
      <c r="L47" s="51">
        <f>(L21/L23)*100</f>
        <v>-76.19047619047619</v>
      </c>
      <c r="M47" s="51" t="e">
        <f>(M21/M23)*100</f>
        <v>#DIV/0!</v>
      </c>
      <c r="N47" s="51" t="e">
        <f>(N21/N23)*100</f>
        <v>#DIV/0!</v>
      </c>
      <c r="O47" s="51" t="e">
        <f>(O21/O23)*100</f>
        <v>#DIV/0!</v>
      </c>
      <c r="P47" s="52"/>
      <c r="Q47" s="22"/>
      <c r="T47" s="48" t="s">
        <v>105</v>
      </c>
      <c r="U47" s="48" t="s">
        <v>105</v>
      </c>
      <c r="V47" s="48" t="s">
        <v>105</v>
      </c>
      <c r="W47" s="48" t="s">
        <v>105</v>
      </c>
      <c r="X47" s="48" t="s">
        <v>105</v>
      </c>
      <c r="Y47" s="141" t="s">
        <v>105</v>
      </c>
      <c r="Z47" s="22" t="s">
        <v>86</v>
      </c>
      <c r="AB47" s="44">
        <f t="shared" si="16"/>
        <v>3.7196535895130367</v>
      </c>
      <c r="AC47" s="51">
        <f>(AC19/AC17)*100</f>
        <v>61.6519174041298</v>
      </c>
      <c r="AD47" s="51">
        <f>(AD19/AD17)*100</f>
        <v>59.878787878787875</v>
      </c>
      <c r="AE47" s="51">
        <f>(AE19/AE17)*100</f>
        <v>60.500695410292074</v>
      </c>
      <c r="AF47" s="51">
        <f>(AF19/AF17)*100</f>
        <v>58.63636363636363</v>
      </c>
      <c r="AG47" s="51">
        <f>(AG19/AG17)*100</f>
        <v>57.93226381461676</v>
      </c>
      <c r="AH47" s="140">
        <f t="shared" si="17"/>
        <v>59.720005628838024</v>
      </c>
      <c r="AI47" s="22"/>
      <c r="AJ47" s="25"/>
      <c r="AK47" s="25"/>
      <c r="AL47" s="48" t="s">
        <v>105</v>
      </c>
      <c r="AM47" s="48" t="s">
        <v>105</v>
      </c>
      <c r="AN47" s="48" t="s">
        <v>105</v>
      </c>
      <c r="AO47" s="48" t="s">
        <v>105</v>
      </c>
      <c r="AP47" s="48" t="s">
        <v>105</v>
      </c>
      <c r="AQ47" s="141" t="s">
        <v>105</v>
      </c>
      <c r="AR47" s="22"/>
      <c r="AU47" s="48" t="s">
        <v>105</v>
      </c>
      <c r="AV47" s="48" t="s">
        <v>105</v>
      </c>
      <c r="AW47" s="48" t="s">
        <v>105</v>
      </c>
      <c r="AX47" s="48" t="s">
        <v>105</v>
      </c>
      <c r="AY47" s="48" t="s">
        <v>105</v>
      </c>
      <c r="AZ47" s="141" t="s">
        <v>105</v>
      </c>
    </row>
    <row r="48" spans="2:52" ht="12">
      <c r="B48" s="25" t="s">
        <v>62</v>
      </c>
      <c r="C48" s="25">
        <v>3.43</v>
      </c>
      <c r="D48" s="25">
        <v>-2.36</v>
      </c>
      <c r="E48" s="25">
        <v>-57.84</v>
      </c>
      <c r="F48" s="43"/>
      <c r="G48" s="43"/>
      <c r="H48" s="22" t="s">
        <v>86</v>
      </c>
      <c r="K48" s="51">
        <f>(K18/K16)*100</f>
        <v>4.254128183599213</v>
      </c>
      <c r="L48" s="51">
        <f>(L18/L16)*100</f>
        <v>5.446333687566419</v>
      </c>
      <c r="M48" s="51" t="e">
        <f>(M18/M16)*100</f>
        <v>#DIV/0!</v>
      </c>
      <c r="N48" s="51" t="e">
        <f>(N18/N16)*100</f>
        <v>#DIV/0!</v>
      </c>
      <c r="O48" s="51" t="e">
        <f>(O18/O16)*100</f>
        <v>#DIV/0!</v>
      </c>
      <c r="P48" s="52"/>
      <c r="Q48" s="22" t="s">
        <v>53</v>
      </c>
      <c r="S48" s="44">
        <f aca="true" t="shared" si="18" ref="S48:S54">T48-X48</f>
        <v>-35.56066737910699</v>
      </c>
      <c r="T48" s="51">
        <f>(T14/T44)*100</f>
        <v>127.37584055740099</v>
      </c>
      <c r="U48" s="51">
        <f>(U14/U44)*100</f>
        <v>131.71222764082145</v>
      </c>
      <c r="V48" s="51">
        <f>(V14/V44)*100</f>
        <v>119.41421835328256</v>
      </c>
      <c r="W48" s="51">
        <f>(W14/W44)*100</f>
        <v>145.63969635252732</v>
      </c>
      <c r="X48" s="51">
        <f>(X14/X44)*100</f>
        <v>162.93650793650798</v>
      </c>
      <c r="Y48" s="140">
        <f aca="true" t="shared" si="19" ref="Y48:Y54">AVERAGE(T48:X48)</f>
        <v>137.41569816810807</v>
      </c>
      <c r="Z48" s="22" t="s">
        <v>23</v>
      </c>
      <c r="AB48" s="44">
        <f t="shared" si="16"/>
        <v>0.029806620270007207</v>
      </c>
      <c r="AC48" s="51">
        <f>AC11/AC13</f>
        <v>0.030378137909119796</v>
      </c>
      <c r="AD48" s="51">
        <f>AD11/AD13</f>
        <v>0.002643779455151538</v>
      </c>
      <c r="AE48" s="51">
        <f>AE11/AE13</f>
        <v>0.003001616254906488</v>
      </c>
      <c r="AF48" s="51">
        <f>AF11/AF13</f>
        <v>0.0005923293351103214</v>
      </c>
      <c r="AG48" s="51">
        <f>AG11/AG13</f>
        <v>0.0005715176391125889</v>
      </c>
      <c r="AH48" s="140">
        <f t="shared" si="17"/>
        <v>0.0074374761186801475</v>
      </c>
      <c r="AI48" s="22" t="s">
        <v>53</v>
      </c>
      <c r="AJ48" s="25"/>
      <c r="AK48" s="44">
        <f aca="true" t="shared" si="20" ref="AK48:AK54">AL48-AP48</f>
        <v>-102.80518648343994</v>
      </c>
      <c r="AL48" s="51">
        <f>(AL14/AL44)*100</f>
        <v>140.6364590673128</v>
      </c>
      <c r="AM48" s="51">
        <f>(AM14/AM44)*100</f>
        <v>141.48913619501855</v>
      </c>
      <c r="AN48" s="51">
        <f>(AN14/AN44)*100</f>
        <v>146.53911997408966</v>
      </c>
      <c r="AO48" s="51">
        <f>(AO14/AO44)*100</f>
        <v>117.12482247120089</v>
      </c>
      <c r="AP48" s="51">
        <f>(AP14/AP44)*100</f>
        <v>243.44164555075275</v>
      </c>
      <c r="AQ48" s="140">
        <f aca="true" t="shared" si="21" ref="AQ48:AQ54">AVERAGE(AL48:AP48)</f>
        <v>157.84623665167493</v>
      </c>
      <c r="AR48" s="22" t="s">
        <v>53</v>
      </c>
      <c r="AT48" s="44">
        <f aca="true" t="shared" si="22" ref="AT48:AT54">AU48-AY48</f>
        <v>-33.48639540276889</v>
      </c>
      <c r="AU48" s="51">
        <f>(AU14/AU44)*100</f>
        <v>51.36397410041397</v>
      </c>
      <c r="AV48" s="51">
        <f>(AV14/AV44)*100</f>
        <v>57.42087860179499</v>
      </c>
      <c r="AW48" s="51">
        <f>(AW14/AW44)*100</f>
        <v>51.513954452981494</v>
      </c>
      <c r="AX48" s="51">
        <f>(AX14/AX44)*100</f>
        <v>47.51271128212176</v>
      </c>
      <c r="AY48" s="51">
        <f>(AY14/AY44)*100</f>
        <v>84.85036950318286</v>
      </c>
      <c r="AZ48" s="140">
        <f aca="true" t="shared" si="23" ref="AZ48:AZ54">AVERAGE(AU48:AY48)</f>
        <v>58.53237758809901</v>
      </c>
    </row>
    <row r="49" spans="3:52" ht="12">
      <c r="C49" s="43"/>
      <c r="D49" s="43"/>
      <c r="E49" s="43"/>
      <c r="F49" s="43"/>
      <c r="G49" s="43"/>
      <c r="H49" s="22" t="s">
        <v>23</v>
      </c>
      <c r="K49" s="51">
        <f>K11/K13</f>
        <v>0.9196940726577438</v>
      </c>
      <c r="L49" s="51">
        <f>L11/L13</f>
        <v>0.9030837004405287</v>
      </c>
      <c r="M49" s="51" t="e">
        <f>M11/M13</f>
        <v>#DIV/0!</v>
      </c>
      <c r="N49" s="51" t="e">
        <f>N11/N13</f>
        <v>#DIV/0!</v>
      </c>
      <c r="O49" s="51" t="e">
        <f>O11/O13</f>
        <v>#DIV/0!</v>
      </c>
      <c r="P49" s="52"/>
      <c r="Q49" s="22" t="s">
        <v>54</v>
      </c>
      <c r="S49" s="44">
        <f t="shared" si="18"/>
        <v>-22.34367366878367</v>
      </c>
      <c r="T49" s="51">
        <f>T19/T20</f>
        <v>24.195652173913043</v>
      </c>
      <c r="U49" s="51">
        <f>U19/U20</f>
        <v>26.742331288343536</v>
      </c>
      <c r="V49" s="51">
        <f>V19/V20</f>
        <v>27.279220779220683</v>
      </c>
      <c r="W49" s="51">
        <f>W19/W20</f>
        <v>40.21782178217829</v>
      </c>
      <c r="X49" s="51">
        <f>X19/X20</f>
        <v>46.53932584269671</v>
      </c>
      <c r="Y49" s="140">
        <f t="shared" si="19"/>
        <v>32.99487037327045</v>
      </c>
      <c r="Z49" s="22" t="s">
        <v>49</v>
      </c>
      <c r="AB49" s="44">
        <f t="shared" si="16"/>
        <v>1.0689941951394353</v>
      </c>
      <c r="AC49" s="51">
        <f>((AC22-AC20-AC21)/AC40)*100</f>
        <v>-5.55643433370242</v>
      </c>
      <c r="AD49" s="51">
        <f>((AD22-AD20-AD21)/AD40)*100</f>
        <v>-5.476064299593712</v>
      </c>
      <c r="AE49" s="51">
        <f>((AE19-AE20-AE21)/AE40)*100</f>
        <v>-5.121917364549114</v>
      </c>
      <c r="AF49" s="51">
        <f>((AF19-AF20-AF21)/AF40)*100</f>
        <v>-2.8089001104623637</v>
      </c>
      <c r="AG49" s="51">
        <f>((AG19-AG20-AG21)/AG40)*100</f>
        <v>-6.625428528841855</v>
      </c>
      <c r="AH49" s="140">
        <f t="shared" si="17"/>
        <v>-5.1177489274298935</v>
      </c>
      <c r="AI49" s="22" t="s">
        <v>54</v>
      </c>
      <c r="AJ49" s="25"/>
      <c r="AK49" s="44">
        <f t="shared" si="20"/>
        <v>-0.13888419028916327</v>
      </c>
      <c r="AL49" s="51">
        <f>AL19/AL20</f>
        <v>0.15207373271889402</v>
      </c>
      <c r="AM49" s="51">
        <f>AM19/AM20</f>
        <v>0.14951573849878935</v>
      </c>
      <c r="AN49" s="51">
        <f>AN19/AN20</f>
        <v>0.1724137931034483</v>
      </c>
      <c r="AO49" s="51">
        <f>AO19/AO20</f>
        <v>0.3321888412017167</v>
      </c>
      <c r="AP49" s="51">
        <f>AP19/AP20</f>
        <v>0.2909579230080573</v>
      </c>
      <c r="AQ49" s="140">
        <f t="shared" si="21"/>
        <v>0.21943000570618115</v>
      </c>
      <c r="AR49" s="22" t="s">
        <v>54</v>
      </c>
      <c r="AT49" s="44">
        <f t="shared" si="22"/>
        <v>10.152607221024844</v>
      </c>
      <c r="AU49" s="51">
        <f>AU19/AU20</f>
        <v>18.483568075117372</v>
      </c>
      <c r="AV49" s="51">
        <f>AV19/AV20</f>
        <v>8.879341864716636</v>
      </c>
      <c r="AW49" s="51">
        <f>AW19/AW20</f>
        <v>5.395104895104895</v>
      </c>
      <c r="AX49" s="51">
        <f>AX19/AX20</f>
        <v>3.564159292035398</v>
      </c>
      <c r="AY49" s="51">
        <f>AY19/AY20</f>
        <v>8.330960854092528</v>
      </c>
      <c r="AZ49" s="140">
        <f t="shared" si="23"/>
        <v>8.930626996213366</v>
      </c>
    </row>
    <row r="50" spans="1:52" ht="12">
      <c r="A50" s="22" t="s">
        <v>77</v>
      </c>
      <c r="C50" s="43"/>
      <c r="D50" s="43"/>
      <c r="E50" s="43"/>
      <c r="F50" s="43"/>
      <c r="G50" s="43"/>
      <c r="H50" s="22" t="s">
        <v>49</v>
      </c>
      <c r="K50" s="51">
        <f>((K21-K19-K20)/K40)*100</f>
        <v>8.995502248875562</v>
      </c>
      <c r="L50" s="51">
        <f>((L21-L19-L20)/L40)*100</f>
        <v>14.555921052631577</v>
      </c>
      <c r="M50" s="51" t="e">
        <f>((M18-M19-M20)/M40)*100</f>
        <v>#DIV/0!</v>
      </c>
      <c r="N50" s="51" t="e">
        <f>((N18-N19-N20)/N40)*100</f>
        <v>#DIV/0!</v>
      </c>
      <c r="O50" s="51" t="e">
        <f>((O18-O19-O20)/O40)*100</f>
        <v>#DIV/0!</v>
      </c>
      <c r="P50" s="52"/>
      <c r="Q50" s="22" t="s">
        <v>97</v>
      </c>
      <c r="S50" s="44">
        <f t="shared" si="18"/>
        <v>-3.282068035337206</v>
      </c>
      <c r="T50" s="51">
        <f>(T22/T15)*100</f>
        <v>15.226813059809304</v>
      </c>
      <c r="U50" s="51">
        <f>(U22/U15)*100</f>
        <v>13.939654115049677</v>
      </c>
      <c r="V50" s="51">
        <f>(V22/V15)*100</f>
        <v>13.976643210061388</v>
      </c>
      <c r="W50" s="51">
        <f>(W22/W15)*100</f>
        <v>14.563106796116504</v>
      </c>
      <c r="X50" s="51">
        <f>(X22/X15)*100</f>
        <v>18.50888109514651</v>
      </c>
      <c r="Y50" s="140">
        <f t="shared" si="19"/>
        <v>15.243019655236676</v>
      </c>
      <c r="Z50" s="22" t="s">
        <v>50</v>
      </c>
      <c r="AB50" s="44">
        <f t="shared" si="16"/>
        <v>-221.47397977694695</v>
      </c>
      <c r="AC50" s="51">
        <f>((AC22-AC20-AC21)/AC17)*100</f>
        <v>-379.9410029498525</v>
      </c>
      <c r="AD50" s="51">
        <f>((AD22-AD20-AD21)/AD17)*100</f>
        <v>-375.75757575757575</v>
      </c>
      <c r="AE50" s="51">
        <f>((AE19-AE20-AE21)/AE17)*100</f>
        <v>-307.9276773296245</v>
      </c>
      <c r="AF50" s="51">
        <f>((AF19-AF20-AF21)/AF17)*100</f>
        <v>-134.84848484848484</v>
      </c>
      <c r="AG50" s="51">
        <f>((AG19-AG20-AG21)/AG17)*100</f>
        <v>-158.46702317290553</v>
      </c>
      <c r="AH50" s="140">
        <f t="shared" si="17"/>
        <v>-271.3883528116886</v>
      </c>
      <c r="AI50" s="22" t="s">
        <v>97</v>
      </c>
      <c r="AJ50" s="25"/>
      <c r="AK50" s="44">
        <f t="shared" si="20"/>
        <v>-5.144948647625938</v>
      </c>
      <c r="AL50" s="51">
        <f>(AL22/AL15)*100</f>
        <v>13.79632513235752</v>
      </c>
      <c r="AM50" s="51">
        <f>(AM22/AM15)*100</f>
        <v>13.366526235158943</v>
      </c>
      <c r="AN50" s="51">
        <f>(AN22/AN15)*100</f>
        <v>20.156046814044213</v>
      </c>
      <c r="AO50" s="51">
        <f>(AO22/AO15)*100</f>
        <v>20.44776119402985</v>
      </c>
      <c r="AP50" s="51">
        <f>(AP22/AP15)*100</f>
        <v>18.941273779983458</v>
      </c>
      <c r="AQ50" s="140">
        <f t="shared" si="21"/>
        <v>17.3415866311148</v>
      </c>
      <c r="AR50" s="22" t="s">
        <v>97</v>
      </c>
      <c r="AT50" s="44">
        <f t="shared" si="22"/>
        <v>21.076941234175536</v>
      </c>
      <c r="AU50" s="51">
        <f>(AU22/AU15)*100</f>
        <v>25.517012570501713</v>
      </c>
      <c r="AV50" s="51">
        <f>(AV22/AV15)*100</f>
        <v>14.261367756907681</v>
      </c>
      <c r="AW50" s="51">
        <f>(AW22/AW15)*100</f>
        <v>11.652932234578767</v>
      </c>
      <c r="AX50" s="51">
        <f>(AX22/AX15)*100</f>
        <v>7.806217514955378</v>
      </c>
      <c r="AY50" s="51">
        <f>(AY21/AY15)*100</f>
        <v>4.440071336326179</v>
      </c>
      <c r="AZ50" s="140">
        <f t="shared" si="23"/>
        <v>12.735520282653944</v>
      </c>
    </row>
    <row r="51" spans="3:52" ht="13.5" customHeight="1">
      <c r="C51" s="43"/>
      <c r="D51" s="43"/>
      <c r="E51" s="43"/>
      <c r="F51" s="43"/>
      <c r="G51" s="43"/>
      <c r="H51" s="22" t="s">
        <v>50</v>
      </c>
      <c r="K51" s="51">
        <f>((K21-K19-K20)/K16)*100</f>
        <v>3.3585222502099077</v>
      </c>
      <c r="L51" s="51">
        <f>((L21-L19-L20)/L16)*100</f>
        <v>4.702444208289054</v>
      </c>
      <c r="M51" s="51" t="e">
        <f>((M18-M19-M20)/M16)*100</f>
        <v>#DIV/0!</v>
      </c>
      <c r="N51" s="51" t="e">
        <f>((N18-N19-N20)/N16)*100</f>
        <v>#DIV/0!</v>
      </c>
      <c r="O51" s="51" t="e">
        <f>((O18-O19-O20)/O16)*100</f>
        <v>#DIV/0!</v>
      </c>
      <c r="P51" s="52"/>
      <c r="Q51" s="22" t="s">
        <v>86</v>
      </c>
      <c r="S51" s="44">
        <f t="shared" si="18"/>
        <v>-0.206216229161297</v>
      </c>
      <c r="T51" s="51">
        <f>(T19/T17)*100</f>
        <v>3.9528358845047413</v>
      </c>
      <c r="U51" s="51">
        <f>(U19/U17)*100</f>
        <v>3.312058354228399</v>
      </c>
      <c r="V51" s="51">
        <f>(V19/V17)*100</f>
        <v>4.47853480165878</v>
      </c>
      <c r="W51" s="51">
        <f>(W19/W17)*100</f>
        <v>4.612921176056426</v>
      </c>
      <c r="X51" s="51">
        <f>(X19/X17)*100</f>
        <v>4.159052113666038</v>
      </c>
      <c r="Y51" s="140">
        <f t="shared" si="19"/>
        <v>4.1030804660228775</v>
      </c>
      <c r="AH51" s="137"/>
      <c r="AI51" s="22" t="s">
        <v>86</v>
      </c>
      <c r="AJ51" s="25"/>
      <c r="AK51" s="44">
        <f t="shared" si="20"/>
        <v>3.7196535895130367</v>
      </c>
      <c r="AL51" s="51">
        <f>(AL19/AL17)*100</f>
        <v>61.6519174041298</v>
      </c>
      <c r="AM51" s="51">
        <f>(AM19/AM17)*100</f>
        <v>59.878787878787875</v>
      </c>
      <c r="AN51" s="51">
        <f>(AN19/AN17)*100</f>
        <v>60.500695410292074</v>
      </c>
      <c r="AO51" s="51">
        <f>(AO19/AO17)*100</f>
        <v>58.63636363636363</v>
      </c>
      <c r="AP51" s="51">
        <f>(AP19/AP17)*100</f>
        <v>57.93226381461676</v>
      </c>
      <c r="AQ51" s="140">
        <f t="shared" si="21"/>
        <v>59.720005628838024</v>
      </c>
      <c r="AR51" s="22" t="s">
        <v>86</v>
      </c>
      <c r="AT51" s="44">
        <f t="shared" si="22"/>
        <v>8.351413277520654</v>
      </c>
      <c r="AU51" s="51">
        <f>(AU19/AU17)*100</f>
        <v>23.808659893565554</v>
      </c>
      <c r="AV51" s="51">
        <f>(AV19/AV17)*100</f>
        <v>16.501324998301286</v>
      </c>
      <c r="AW51" s="51">
        <f>(AW19/AW17)*100</f>
        <v>12.378660248696349</v>
      </c>
      <c r="AX51" s="51">
        <f>(AX19/AX17)*100</f>
        <v>8.644095079680206</v>
      </c>
      <c r="AY51" s="51">
        <f>(AY19/AY17)*100</f>
        <v>15.4572466160449</v>
      </c>
      <c r="AZ51" s="140">
        <f t="shared" si="23"/>
        <v>15.357997367257658</v>
      </c>
    </row>
    <row r="52" spans="1:52" ht="13.5" customHeight="1">
      <c r="A52" s="25" t="s">
        <v>79</v>
      </c>
      <c r="C52" s="25">
        <v>263661</v>
      </c>
      <c r="D52" s="43">
        <v>50813</v>
      </c>
      <c r="E52" s="43">
        <v>-30863</v>
      </c>
      <c r="F52" s="43"/>
      <c r="G52" s="43"/>
      <c r="Q52" s="22" t="s">
        <v>23</v>
      </c>
      <c r="S52" s="44">
        <f t="shared" si="18"/>
        <v>0.285603517903642</v>
      </c>
      <c r="T52" s="51">
        <f>T11/T13</f>
        <v>1.3812076632173875</v>
      </c>
      <c r="U52" s="51">
        <f>U11/U13</f>
        <v>1.328688069080494</v>
      </c>
      <c r="V52" s="51">
        <f>V11/V13</f>
        <v>1.5438208616780047</v>
      </c>
      <c r="W52" s="51">
        <f>W11/W13</f>
        <v>1.2111477210323998</v>
      </c>
      <c r="X52" s="51">
        <f>X11/X13</f>
        <v>1.0956041453137455</v>
      </c>
      <c r="Y52" s="140">
        <f t="shared" si="19"/>
        <v>1.3120936920644062</v>
      </c>
      <c r="AH52" s="137"/>
      <c r="AI52" s="22" t="s">
        <v>23</v>
      </c>
      <c r="AJ52" s="25"/>
      <c r="AK52" s="44">
        <f t="shared" si="20"/>
        <v>0.029806620270007207</v>
      </c>
      <c r="AL52" s="51">
        <f>AL11/AL13</f>
        <v>0.030378137909119796</v>
      </c>
      <c r="AM52" s="51">
        <f>AM11/AM13</f>
        <v>0.002643779455151538</v>
      </c>
      <c r="AN52" s="51">
        <f>AN11/AN13</f>
        <v>0.003001616254906488</v>
      </c>
      <c r="AO52" s="51">
        <f>AO11/AO13</f>
        <v>0.0005923293351103214</v>
      </c>
      <c r="AP52" s="51">
        <f>AP11/AP13</f>
        <v>0.0005715176391125889</v>
      </c>
      <c r="AQ52" s="140">
        <f t="shared" si="21"/>
        <v>0.0074374761186801475</v>
      </c>
      <c r="AR52" s="22" t="s">
        <v>23</v>
      </c>
      <c r="AT52" s="44">
        <f t="shared" si="22"/>
        <v>0.16725622570910414</v>
      </c>
      <c r="AU52" s="51">
        <f>AU11/AU13</f>
        <v>1.3460620525059666</v>
      </c>
      <c r="AV52" s="51">
        <f>AV11/AV13</f>
        <v>1.3766492146596858</v>
      </c>
      <c r="AW52" s="51">
        <f>AW11/AW13</f>
        <v>7.438173747622067</v>
      </c>
      <c r="AX52" s="51">
        <f>AX11/AX13</f>
        <v>142.35384615384615</v>
      </c>
      <c r="AY52" s="51">
        <f>AY11/AY13</f>
        <v>1.1788058267968624</v>
      </c>
      <c r="AZ52" s="140">
        <f t="shared" si="23"/>
        <v>30.738707399086145</v>
      </c>
    </row>
    <row r="53" spans="1:52" ht="12">
      <c r="A53" s="25" t="s">
        <v>80</v>
      </c>
      <c r="C53" s="53">
        <v>-25555</v>
      </c>
      <c r="D53" s="43">
        <v>63587</v>
      </c>
      <c r="E53" s="43">
        <v>-19499</v>
      </c>
      <c r="F53" s="43"/>
      <c r="G53" s="43"/>
      <c r="Q53" s="22" t="s">
        <v>49</v>
      </c>
      <c r="S53" s="44">
        <f t="shared" si="18"/>
        <v>-2.5694088604240086</v>
      </c>
      <c r="T53" s="51">
        <f>((T22+T20+T21)/T44)*100</f>
        <v>16.40606011504497</v>
      </c>
      <c r="U53" s="51">
        <f>((U22+U20+U21)/U44)*100</f>
        <v>14.133595812267913</v>
      </c>
      <c r="V53" s="51">
        <f>((V22+V20+V21)/V44)*100</f>
        <v>13.424918389553863</v>
      </c>
      <c r="W53" s="51">
        <f>((W22+W20+W21)/W44)*100</f>
        <v>15.80571499105104</v>
      </c>
      <c r="X53" s="51">
        <f>((X22+X20+X21)/X44)*100</f>
        <v>18.975468975468978</v>
      </c>
      <c r="Y53" s="140">
        <f t="shared" si="19"/>
        <v>15.749151656677352</v>
      </c>
      <c r="AH53" s="137"/>
      <c r="AI53" s="22" t="s">
        <v>49</v>
      </c>
      <c r="AJ53" s="25"/>
      <c r="AK53" s="44">
        <f t="shared" si="20"/>
        <v>-1.528449137954004</v>
      </c>
      <c r="AL53" s="51">
        <f>((AL22+L20+AL21)/AL44)*100</f>
        <v>0.9011230784716929</v>
      </c>
      <c r="AM53" s="51">
        <f>((AM22+M20+AM21)/AM44)*100</f>
        <v>0.8726373432255786</v>
      </c>
      <c r="AN53" s="51">
        <f>((AN22+N20+AN21)/AN44)*100</f>
        <v>1.0086522000647757</v>
      </c>
      <c r="AO53" s="51">
        <f>((AO22+O20+AO21)/AO44)*100</f>
        <v>1.2182420703803063</v>
      </c>
      <c r="AP53" s="51">
        <f>((AP22+P20+AP21)/AP44)*100</f>
        <v>2.4295722164256968</v>
      </c>
      <c r="AQ53" s="140">
        <f t="shared" si="21"/>
        <v>1.2860453817136102</v>
      </c>
      <c r="AR53" s="22" t="s">
        <v>49</v>
      </c>
      <c r="AT53" s="44">
        <f t="shared" si="22"/>
        <v>15.511585535046702</v>
      </c>
      <c r="AU53" s="51">
        <f>((AU22+AU20+AU21)/AU44)*100</f>
        <v>24.899161447829318</v>
      </c>
      <c r="AV53" s="51">
        <f>((AV22+AV20+AV21)/AV44)*100</f>
        <v>12.834199338686823</v>
      </c>
      <c r="AW53" s="51">
        <f>((AW22+AW20+AW21)/AW44)*100</f>
        <v>7.827529676667523</v>
      </c>
      <c r="AX53" s="51">
        <f>((AX22+AX20+AX21)/AX44)*100</f>
        <v>6.300673354404288</v>
      </c>
      <c r="AY53" s="51">
        <f>((AY22+AY20+AY21)/AY44)*100</f>
        <v>9.387575912782616</v>
      </c>
      <c r="AZ53" s="140">
        <f t="shared" si="23"/>
        <v>12.249827946074115</v>
      </c>
    </row>
    <row r="54" spans="1:52" ht="12">
      <c r="A54" s="25" t="s">
        <v>75</v>
      </c>
      <c r="C54" s="53">
        <v>470</v>
      </c>
      <c r="D54" s="43">
        <v>-41451</v>
      </c>
      <c r="E54" s="43">
        <v>-30506</v>
      </c>
      <c r="F54" s="43"/>
      <c r="G54" s="43"/>
      <c r="Q54" s="22" t="s">
        <v>50</v>
      </c>
      <c r="S54" s="44">
        <f t="shared" si="18"/>
        <v>0.2358995317246353</v>
      </c>
      <c r="T54" s="51">
        <f>((T22+T20+T21)/T17)*100</f>
        <v>2.8767269240331</v>
      </c>
      <c r="U54" s="51">
        <f>((U22+U20+U21)/U17)*100</f>
        <v>2.400273535445635</v>
      </c>
      <c r="V54" s="51">
        <f>((V22+V20+V21)/V17)*100</f>
        <v>3.1566154600599132</v>
      </c>
      <c r="W54" s="51">
        <f>((W22+W20+W21)/W17)*100</f>
        <v>2.908343459350194</v>
      </c>
      <c r="X54" s="51">
        <f>((X22+X20+X21)/X17)*100</f>
        <v>2.6408273923084646</v>
      </c>
      <c r="Y54" s="140">
        <f t="shared" si="19"/>
        <v>2.7965573542394617</v>
      </c>
      <c r="AH54" s="137"/>
      <c r="AI54" s="22" t="s">
        <v>50</v>
      </c>
      <c r="AJ54" s="25"/>
      <c r="AK54" s="44">
        <f t="shared" si="20"/>
        <v>209.84072899741824</v>
      </c>
      <c r="AL54" s="51">
        <f>((AL22+AL20+AL21)/AL17)*100</f>
        <v>467.05998033431666</v>
      </c>
      <c r="AM54" s="51">
        <f>((AM22+AM20+AM21)/AM17)*100</f>
        <v>460.3636363636364</v>
      </c>
      <c r="AN54" s="51">
        <f>((AN22+AN20+AN21)/AN17)*100</f>
        <v>411.5438108484006</v>
      </c>
      <c r="AO54" s="51">
        <f>((AO22+AO20+AO21)/AO17)*100</f>
        <v>235</v>
      </c>
      <c r="AP54" s="51">
        <f>((AP22+AP20+AP21)/AP17)*100</f>
        <v>257.2192513368984</v>
      </c>
      <c r="AQ54" s="140">
        <f t="shared" si="21"/>
        <v>366.2373357766504</v>
      </c>
      <c r="AR54" s="22" t="s">
        <v>50</v>
      </c>
      <c r="AT54" s="44">
        <f t="shared" si="22"/>
        <v>11.428546586352883</v>
      </c>
      <c r="AU54" s="51">
        <f>((AU22+AU20+AU21)/AU17)*100</f>
        <v>28.371432027092403</v>
      </c>
      <c r="AV54" s="51">
        <f>((AV22+AV20+AV21)/AV17)*100</f>
        <v>18.461642997893595</v>
      </c>
      <c r="AW54" s="51">
        <f>((AW22+AW20+AW21)/AW17)*100</f>
        <v>15.896510228640192</v>
      </c>
      <c r="AX54" s="51">
        <f>((AX22+AX20+AX21)/AX17)*100</f>
        <v>14.760959381874766</v>
      </c>
      <c r="AY54" s="51">
        <f>((AY22+AY20+AY21)/AY17)*100</f>
        <v>16.94288544073952</v>
      </c>
      <c r="AZ54" s="140">
        <f t="shared" si="23"/>
        <v>18.886686015248095</v>
      </c>
    </row>
    <row r="55" spans="3:52" ht="12">
      <c r="C55" s="53"/>
      <c r="D55" s="43"/>
      <c r="E55" s="43"/>
      <c r="F55" s="43"/>
      <c r="G55" s="43"/>
      <c r="AH55" s="137"/>
      <c r="AI55" s="25"/>
      <c r="AJ55" s="25"/>
      <c r="AK55" s="25"/>
      <c r="AL55" s="25"/>
      <c r="AM55" s="25"/>
      <c r="AN55" s="25"/>
      <c r="AO55" s="25"/>
      <c r="AP55" s="25"/>
      <c r="AQ55" s="137"/>
      <c r="AR55" s="22"/>
      <c r="AT55" s="44"/>
      <c r="AU55" s="51"/>
      <c r="AV55" s="51"/>
      <c r="AW55" s="51"/>
      <c r="AX55" s="51"/>
      <c r="AY55" s="51"/>
      <c r="AZ55" s="140"/>
    </row>
    <row r="56" spans="1:54" ht="12">
      <c r="A56" s="25" t="s">
        <v>76</v>
      </c>
      <c r="C56" s="53">
        <v>21642</v>
      </c>
      <c r="D56" s="43">
        <v>-13847</v>
      </c>
      <c r="E56" s="43">
        <v>8340</v>
      </c>
      <c r="F56" s="43"/>
      <c r="G56" s="43"/>
      <c r="AH56" s="137"/>
      <c r="AI56" s="25"/>
      <c r="AJ56" s="25"/>
      <c r="AK56" s="25"/>
      <c r="AL56" s="25"/>
      <c r="AM56" s="25"/>
      <c r="AN56" s="25"/>
      <c r="AO56" s="25"/>
      <c r="AP56" s="25"/>
      <c r="AQ56" s="137"/>
      <c r="AZ56" s="137"/>
      <c r="BA56" s="137"/>
      <c r="BB56" s="137"/>
    </row>
    <row r="57" spans="1:80" s="26" customFormat="1" ht="12">
      <c r="A57" s="26" t="s">
        <v>63</v>
      </c>
      <c r="C57" s="43">
        <v>350669</v>
      </c>
      <c r="D57" s="43">
        <v>291567</v>
      </c>
      <c r="E57" s="43">
        <v>364095</v>
      </c>
      <c r="F57" s="43"/>
      <c r="G57" s="43"/>
      <c r="H57" s="25"/>
      <c r="I57" s="25"/>
      <c r="J57" s="25"/>
      <c r="K57" s="25"/>
      <c r="L57" s="25"/>
      <c r="M57" s="25"/>
      <c r="N57" s="25"/>
      <c r="O57" s="25"/>
      <c r="Q57" s="25"/>
      <c r="R57" s="25"/>
      <c r="S57" s="25"/>
      <c r="T57" s="25"/>
      <c r="U57" s="25"/>
      <c r="V57" s="25"/>
      <c r="W57" s="25"/>
      <c r="X57" s="25"/>
      <c r="Y57" s="137"/>
      <c r="Z57" s="25"/>
      <c r="AA57" s="25"/>
      <c r="AB57" s="25"/>
      <c r="AC57" s="25"/>
      <c r="AD57" s="25"/>
      <c r="AE57" s="25"/>
      <c r="AF57" s="25"/>
      <c r="AG57" s="25"/>
      <c r="AH57" s="133"/>
      <c r="AI57" s="25"/>
      <c r="AJ57" s="25"/>
      <c r="AK57" s="25"/>
      <c r="AL57" s="25"/>
      <c r="AM57" s="25"/>
      <c r="AN57" s="25"/>
      <c r="AO57" s="25"/>
      <c r="AP57" s="25"/>
      <c r="AQ57" s="133"/>
      <c r="AR57" s="25"/>
      <c r="AS57" s="25"/>
      <c r="AT57" s="25"/>
      <c r="AU57" s="25"/>
      <c r="AV57" s="25"/>
      <c r="AW57" s="25"/>
      <c r="AX57" s="25"/>
      <c r="AY57" s="25"/>
      <c r="AZ57" s="137"/>
      <c r="BA57" s="133"/>
      <c r="BB57" s="133"/>
      <c r="BC57" s="137"/>
      <c r="BD57" s="137"/>
      <c r="BE57" s="137"/>
      <c r="BF57" s="137"/>
      <c r="BG57" s="137"/>
      <c r="BH57" s="137"/>
      <c r="BI57" s="137"/>
      <c r="BX57" s="25"/>
      <c r="BY57" s="25"/>
      <c r="BZ57" s="25"/>
      <c r="CA57" s="25"/>
      <c r="CB57" s="25"/>
    </row>
    <row r="58" spans="1:80" ht="12">
      <c r="A58" s="25" t="s">
        <v>64</v>
      </c>
      <c r="C58" s="43">
        <v>610887</v>
      </c>
      <c r="D58" s="43">
        <v>350669</v>
      </c>
      <c r="E58" s="43">
        <v>291567</v>
      </c>
      <c r="F58" s="43"/>
      <c r="G58" s="43"/>
      <c r="U58" s="145" t="s">
        <v>221</v>
      </c>
      <c r="AI58" s="25"/>
      <c r="AJ58" s="25"/>
      <c r="AK58" s="25"/>
      <c r="AL58" s="25"/>
      <c r="AM58" s="145" t="s">
        <v>232</v>
      </c>
      <c r="AN58" s="25"/>
      <c r="AO58" s="25"/>
      <c r="AP58" s="25"/>
      <c r="AV58" s="145" t="s">
        <v>243</v>
      </c>
      <c r="AZ58" s="137"/>
      <c r="BX58" s="26"/>
      <c r="BY58" s="26"/>
      <c r="BZ58" s="26"/>
      <c r="CA58" s="26"/>
      <c r="CB58" s="26"/>
    </row>
    <row r="59" spans="1:52" ht="12">
      <c r="A59" s="22"/>
      <c r="B59" s="22"/>
      <c r="C59" s="46"/>
      <c r="D59" s="46"/>
      <c r="E59" s="46"/>
      <c r="F59" s="46"/>
      <c r="G59" s="46"/>
      <c r="H59" s="23" t="s">
        <v>107</v>
      </c>
      <c r="I59" s="23"/>
      <c r="J59" s="23"/>
      <c r="K59" s="23"/>
      <c r="L59" s="23"/>
      <c r="M59" s="23"/>
      <c r="N59" s="23"/>
      <c r="O59" s="23"/>
      <c r="P59" s="23"/>
      <c r="Q59" s="23" t="s">
        <v>118</v>
      </c>
      <c r="R59" s="23"/>
      <c r="S59" s="23"/>
      <c r="T59" s="23"/>
      <c r="U59" s="23"/>
      <c r="V59" s="23"/>
      <c r="W59" s="23"/>
      <c r="X59" s="23"/>
      <c r="Y59" s="136"/>
      <c r="Z59" s="23" t="s">
        <v>134</v>
      </c>
      <c r="AA59" s="23"/>
      <c r="AB59" s="23"/>
      <c r="AC59" s="23"/>
      <c r="AD59" s="23"/>
      <c r="AE59" s="23"/>
      <c r="AF59" s="23"/>
      <c r="AG59" s="23"/>
      <c r="AH59" s="136"/>
      <c r="AI59" s="23" t="s">
        <v>134</v>
      </c>
      <c r="AJ59" s="23"/>
      <c r="AK59" s="23"/>
      <c r="AL59" s="23"/>
      <c r="AM59" s="23"/>
      <c r="AN59" s="23"/>
      <c r="AO59" s="23"/>
      <c r="AP59" s="23"/>
      <c r="AQ59" s="136"/>
      <c r="AR59" s="23" t="s">
        <v>149</v>
      </c>
      <c r="AS59" s="23"/>
      <c r="AT59" s="23"/>
      <c r="AU59" s="23"/>
      <c r="AV59" s="23"/>
      <c r="AW59" s="23"/>
      <c r="AX59" s="23"/>
      <c r="AY59" s="23"/>
      <c r="AZ59" s="136"/>
    </row>
    <row r="60" spans="34:54" ht="12">
      <c r="AH60" s="137"/>
      <c r="AI60" s="22" t="s">
        <v>220</v>
      </c>
      <c r="AJ60" s="25"/>
      <c r="AK60" s="25"/>
      <c r="AL60" s="25"/>
      <c r="AM60" s="25"/>
      <c r="AN60" s="25"/>
      <c r="AO60" s="25"/>
      <c r="AP60" s="25"/>
      <c r="AQ60" s="137"/>
      <c r="AZ60" s="137"/>
      <c r="BA60" s="139"/>
      <c r="BB60" s="139"/>
    </row>
    <row r="61" spans="1:80" s="22" customFormat="1" ht="12">
      <c r="A61" s="22" t="s">
        <v>90</v>
      </c>
      <c r="B61" s="25"/>
      <c r="C61" s="39">
        <f>C16-C19</f>
        <v>1318420</v>
      </c>
      <c r="D61" s="39">
        <f>D16-D19</f>
        <v>897142</v>
      </c>
      <c r="E61" s="39">
        <f>E16-E19</f>
        <v>926118</v>
      </c>
      <c r="F61" s="39">
        <f>F16-F19</f>
        <v>0</v>
      </c>
      <c r="G61" s="40">
        <f>G16-G19</f>
        <v>0</v>
      </c>
      <c r="H61" s="25" t="s">
        <v>22</v>
      </c>
      <c r="I61" s="25"/>
      <c r="J61" s="25"/>
      <c r="K61" s="25"/>
      <c r="L61" s="25"/>
      <c r="M61" s="25"/>
      <c r="N61" s="25"/>
      <c r="O61" s="25"/>
      <c r="P61" s="26"/>
      <c r="Q61" s="25" t="s">
        <v>22</v>
      </c>
      <c r="R61" s="25"/>
      <c r="S61" s="25"/>
      <c r="T61" s="25"/>
      <c r="U61" s="25"/>
      <c r="V61" s="25"/>
      <c r="W61" s="25"/>
      <c r="X61" s="25"/>
      <c r="Y61" s="137"/>
      <c r="Z61" s="25" t="s">
        <v>22</v>
      </c>
      <c r="AA61" s="25"/>
      <c r="AB61" s="25"/>
      <c r="AC61" s="25"/>
      <c r="AD61" s="25"/>
      <c r="AE61" s="25"/>
      <c r="AF61" s="25"/>
      <c r="AG61" s="25"/>
      <c r="AH61" s="137"/>
      <c r="AI61" s="25" t="s">
        <v>22</v>
      </c>
      <c r="AJ61" s="25"/>
      <c r="AK61" s="25"/>
      <c r="AL61" s="25"/>
      <c r="AM61" s="25"/>
      <c r="AN61" s="25"/>
      <c r="AO61" s="25"/>
      <c r="AP61" s="25"/>
      <c r="AQ61" s="137"/>
      <c r="AR61" s="25" t="s">
        <v>22</v>
      </c>
      <c r="AS61" s="25"/>
      <c r="AT61" s="25"/>
      <c r="AU61" s="25"/>
      <c r="AV61" s="25"/>
      <c r="AW61" s="25"/>
      <c r="AX61" s="25"/>
      <c r="AY61" s="25"/>
      <c r="AZ61" s="137"/>
      <c r="BA61" s="133"/>
      <c r="BB61" s="133"/>
      <c r="BC61" s="139"/>
      <c r="BD61" s="139"/>
      <c r="BE61" s="139"/>
      <c r="BF61" s="139"/>
      <c r="BG61" s="139"/>
      <c r="BH61" s="139"/>
      <c r="BI61" s="139"/>
      <c r="BX61" s="25"/>
      <c r="BY61" s="25"/>
      <c r="BZ61" s="25"/>
      <c r="CA61" s="25"/>
      <c r="CB61" s="25"/>
    </row>
    <row r="62" spans="1:80" ht="12">
      <c r="A62" s="22" t="s">
        <v>91</v>
      </c>
      <c r="C62" s="42">
        <f>C28+C29</f>
        <v>507787</v>
      </c>
      <c r="D62" s="42">
        <f>D28+D29</f>
        <v>346342</v>
      </c>
      <c r="E62" s="42">
        <f>E28+E29</f>
        <v>260662</v>
      </c>
      <c r="F62" s="42">
        <f>F28+F29</f>
        <v>0</v>
      </c>
      <c r="G62" s="43">
        <f>G28+G29</f>
        <v>0</v>
      </c>
      <c r="H62" s="25" t="s">
        <v>114</v>
      </c>
      <c r="Q62" s="25" t="s">
        <v>114</v>
      </c>
      <c r="Z62" s="25" t="s">
        <v>114</v>
      </c>
      <c r="AH62" s="137"/>
      <c r="AI62" s="25" t="s">
        <v>114</v>
      </c>
      <c r="AJ62" s="25"/>
      <c r="AK62" s="25"/>
      <c r="AL62" s="25"/>
      <c r="AM62" s="25"/>
      <c r="AN62" s="25"/>
      <c r="AO62" s="25"/>
      <c r="AP62" s="25"/>
      <c r="AQ62" s="137"/>
      <c r="AR62" s="25" t="s">
        <v>114</v>
      </c>
      <c r="AZ62" s="137"/>
      <c r="BX62" s="22"/>
      <c r="BY62" s="22"/>
      <c r="BZ62" s="22"/>
      <c r="CA62" s="22"/>
      <c r="CB62" s="22"/>
    </row>
    <row r="63" spans="1:52" ht="12">
      <c r="A63" s="22" t="s">
        <v>92</v>
      </c>
      <c r="C63" s="42">
        <f>C28-C61</f>
        <v>2176628</v>
      </c>
      <c r="D63" s="42">
        <f>D28-D61</f>
        <v>1302813</v>
      </c>
      <c r="E63" s="42">
        <f>E28-E61</f>
        <v>1735206</v>
      </c>
      <c r="F63" s="42">
        <f>F28-F61</f>
        <v>0</v>
      </c>
      <c r="G63" s="43">
        <f>G28-G61</f>
        <v>0</v>
      </c>
      <c r="H63" s="25" t="s">
        <v>52</v>
      </c>
      <c r="Q63" s="25" t="s">
        <v>52</v>
      </c>
      <c r="Z63" s="25" t="s">
        <v>52</v>
      </c>
      <c r="AH63" s="137"/>
      <c r="AI63" s="25" t="s">
        <v>52</v>
      </c>
      <c r="AJ63" s="25"/>
      <c r="AK63" s="25"/>
      <c r="AL63" s="25"/>
      <c r="AM63" s="25"/>
      <c r="AN63" s="25"/>
      <c r="AO63" s="25"/>
      <c r="AP63" s="25"/>
      <c r="AQ63" s="137"/>
      <c r="AR63" s="25" t="s">
        <v>52</v>
      </c>
      <c r="AZ63" s="137"/>
    </row>
    <row r="64" spans="1:52" ht="12">
      <c r="A64" s="22" t="s">
        <v>23</v>
      </c>
      <c r="C64" s="33">
        <f>C14/C19</f>
        <v>1.1135914229125772</v>
      </c>
      <c r="D64" s="33">
        <f>D14/D19</f>
        <v>0.8536023753864413</v>
      </c>
      <c r="E64" s="33">
        <f>E14/E19</f>
        <v>0.8305159634094796</v>
      </c>
      <c r="F64" s="33" t="e">
        <f>F14/F19</f>
        <v>#DIV/0!</v>
      </c>
      <c r="G64" s="47" t="e">
        <f>G14/G19</f>
        <v>#DIV/0!</v>
      </c>
      <c r="AH64" s="137"/>
      <c r="AI64" s="25"/>
      <c r="AJ64" s="25"/>
      <c r="AK64" s="25"/>
      <c r="AL64" s="25"/>
      <c r="AM64" s="25"/>
      <c r="AN64" s="25"/>
      <c r="AO64" s="25"/>
      <c r="AP64" s="25"/>
      <c r="AQ64" s="137"/>
      <c r="AZ64" s="137"/>
    </row>
    <row r="65" spans="1:52" ht="12">
      <c r="A65" s="22" t="s">
        <v>49</v>
      </c>
      <c r="C65" s="33">
        <f>((C38-C33)/(C16-C19))*100</f>
        <v>27.960513341727218</v>
      </c>
      <c r="D65" s="33">
        <f>((D38-D33)/(D16-D19))*100</f>
        <v>-2.1805912553419637</v>
      </c>
      <c r="E65" s="33">
        <f>((E38-E33)/(E16-E19))*100</f>
        <v>-14.852319034939393</v>
      </c>
      <c r="F65" s="33" t="e">
        <f>((F38-F33)/(F16-F19))*100</f>
        <v>#DIV/0!</v>
      </c>
      <c r="G65" s="47" t="e">
        <f>((G38-G33)/(G16-G19))*100</f>
        <v>#DIV/0!</v>
      </c>
      <c r="K65" s="28" t="s">
        <v>25</v>
      </c>
      <c r="L65" s="28" t="s">
        <v>25</v>
      </c>
      <c r="M65" s="28" t="s">
        <v>25</v>
      </c>
      <c r="N65" s="28" t="s">
        <v>25</v>
      </c>
      <c r="O65" s="28" t="s">
        <v>25</v>
      </c>
      <c r="P65" s="29"/>
      <c r="T65" s="28" t="s">
        <v>25</v>
      </c>
      <c r="U65" s="28" t="s">
        <v>25</v>
      </c>
      <c r="V65" s="28" t="s">
        <v>25</v>
      </c>
      <c r="W65" s="28" t="s">
        <v>25</v>
      </c>
      <c r="X65" s="28" t="s">
        <v>25</v>
      </c>
      <c r="Y65" s="138"/>
      <c r="AC65" s="28" t="s">
        <v>25</v>
      </c>
      <c r="AD65" s="28" t="s">
        <v>25</v>
      </c>
      <c r="AE65" s="28" t="s">
        <v>25</v>
      </c>
      <c r="AF65" s="28" t="s">
        <v>25</v>
      </c>
      <c r="AG65" s="28" t="s">
        <v>25</v>
      </c>
      <c r="AH65" s="138"/>
      <c r="AI65" s="25"/>
      <c r="AJ65" s="25"/>
      <c r="AK65" s="25"/>
      <c r="AL65" s="28" t="s">
        <v>25</v>
      </c>
      <c r="AM65" s="28" t="s">
        <v>25</v>
      </c>
      <c r="AN65" s="28" t="s">
        <v>25</v>
      </c>
      <c r="AO65" s="28" t="s">
        <v>25</v>
      </c>
      <c r="AP65" s="28" t="s">
        <v>25</v>
      </c>
      <c r="AQ65" s="138"/>
      <c r="AU65" s="28" t="s">
        <v>25</v>
      </c>
      <c r="AV65" s="28" t="s">
        <v>25</v>
      </c>
      <c r="AW65" s="28" t="s">
        <v>25</v>
      </c>
      <c r="AX65" s="28" t="s">
        <v>25</v>
      </c>
      <c r="AY65" s="28" t="s">
        <v>25</v>
      </c>
      <c r="AZ65" s="138"/>
    </row>
    <row r="66" spans="1:52" ht="12">
      <c r="A66" s="22" t="s">
        <v>50</v>
      </c>
      <c r="C66" s="33">
        <f>((C38-C33)/C28)*100</f>
        <v>10.547408790952227</v>
      </c>
      <c r="D66" s="33">
        <f>((D38-D33)/D28)*100</f>
        <v>-0.8892454618389922</v>
      </c>
      <c r="E66" s="33">
        <f>((E38-E33)/E28)*100</f>
        <v>-5.168480049779733</v>
      </c>
      <c r="F66" s="33" t="e">
        <f>((F38-F33)/F28)*100</f>
        <v>#DIV/0!</v>
      </c>
      <c r="G66" s="47" t="e">
        <f>((G38-G33)/G28)*100</f>
        <v>#DIV/0!</v>
      </c>
      <c r="K66" s="28">
        <v>2006</v>
      </c>
      <c r="L66" s="28">
        <v>2005</v>
      </c>
      <c r="M66" s="28">
        <v>2004</v>
      </c>
      <c r="N66" s="28">
        <v>2003</v>
      </c>
      <c r="O66" s="28">
        <v>2002</v>
      </c>
      <c r="P66" s="29" t="s">
        <v>117</v>
      </c>
      <c r="T66" s="28">
        <v>2006</v>
      </c>
      <c r="U66" s="28">
        <v>2005</v>
      </c>
      <c r="V66" s="28">
        <v>2004</v>
      </c>
      <c r="W66" s="28">
        <v>2003</v>
      </c>
      <c r="X66" s="28">
        <v>2002</v>
      </c>
      <c r="Y66" s="138" t="s">
        <v>117</v>
      </c>
      <c r="AC66" s="28">
        <v>2006</v>
      </c>
      <c r="AD66" s="28">
        <v>2005</v>
      </c>
      <c r="AE66" s="28">
        <v>2004</v>
      </c>
      <c r="AF66" s="28">
        <v>2003</v>
      </c>
      <c r="AG66" s="28">
        <v>2002</v>
      </c>
      <c r="AH66" s="138" t="s">
        <v>117</v>
      </c>
      <c r="AI66" s="25"/>
      <c r="AJ66" s="25"/>
      <c r="AK66" s="25"/>
      <c r="AL66" s="28">
        <v>2006</v>
      </c>
      <c r="AM66" s="28">
        <v>2005</v>
      </c>
      <c r="AN66" s="28">
        <v>2004</v>
      </c>
      <c r="AO66" s="28">
        <v>2003</v>
      </c>
      <c r="AP66" s="28">
        <v>2002</v>
      </c>
      <c r="AQ66" s="138" t="s">
        <v>117</v>
      </c>
      <c r="AU66" s="28">
        <v>2006</v>
      </c>
      <c r="AV66" s="28">
        <v>2005</v>
      </c>
      <c r="AW66" s="28">
        <v>2004</v>
      </c>
      <c r="AX66" s="28">
        <v>2003</v>
      </c>
      <c r="AY66" s="28">
        <v>2002</v>
      </c>
      <c r="AZ66" s="138" t="s">
        <v>117</v>
      </c>
    </row>
    <row r="67" spans="1:52" ht="12">
      <c r="A67" s="22" t="s">
        <v>86</v>
      </c>
      <c r="C67" s="33">
        <f>(C30/C28)*100</f>
        <v>14.528756114365237</v>
      </c>
      <c r="D67" s="33">
        <f>(D30/D28)*100</f>
        <v>15.743140200595013</v>
      </c>
      <c r="E67" s="33">
        <f>(E30/E28)*100</f>
        <v>9.794448176922463</v>
      </c>
      <c r="F67" s="33" t="e">
        <f>(F30/F28)*100</f>
        <v>#DIV/0!</v>
      </c>
      <c r="G67" s="47" t="e">
        <f>(G30/G28)*100</f>
        <v>#DIV/0!</v>
      </c>
      <c r="K67" s="28" t="s">
        <v>71</v>
      </c>
      <c r="L67" s="28" t="s">
        <v>71</v>
      </c>
      <c r="M67" s="28" t="s">
        <v>71</v>
      </c>
      <c r="N67" s="28" t="s">
        <v>71</v>
      </c>
      <c r="O67" s="28" t="s">
        <v>71</v>
      </c>
      <c r="P67" s="29" t="s">
        <v>71</v>
      </c>
      <c r="T67" s="28" t="s">
        <v>71</v>
      </c>
      <c r="U67" s="28" t="s">
        <v>71</v>
      </c>
      <c r="V67" s="28" t="s">
        <v>71</v>
      </c>
      <c r="W67" s="28" t="s">
        <v>71</v>
      </c>
      <c r="X67" s="28" t="s">
        <v>71</v>
      </c>
      <c r="Y67" s="138" t="s">
        <v>71</v>
      </c>
      <c r="AB67" s="22" t="s">
        <v>218</v>
      </c>
      <c r="AC67" s="28" t="s">
        <v>71</v>
      </c>
      <c r="AD67" s="28" t="s">
        <v>71</v>
      </c>
      <c r="AE67" s="28" t="s">
        <v>71</v>
      </c>
      <c r="AF67" s="28" t="s">
        <v>71</v>
      </c>
      <c r="AG67" s="28" t="s">
        <v>71</v>
      </c>
      <c r="AH67" s="138" t="s">
        <v>71</v>
      </c>
      <c r="AI67" s="25"/>
      <c r="AJ67" s="25"/>
      <c r="AK67" s="22" t="s">
        <v>218</v>
      </c>
      <c r="AL67" s="28" t="s">
        <v>71</v>
      </c>
      <c r="AM67" s="28" t="s">
        <v>71</v>
      </c>
      <c r="AN67" s="28" t="s">
        <v>71</v>
      </c>
      <c r="AO67" s="28" t="s">
        <v>71</v>
      </c>
      <c r="AP67" s="28" t="s">
        <v>71</v>
      </c>
      <c r="AQ67" s="138" t="s">
        <v>71</v>
      </c>
      <c r="AT67" s="22" t="s">
        <v>218</v>
      </c>
      <c r="AU67" s="28" t="s">
        <v>71</v>
      </c>
      <c r="AV67" s="28" t="s">
        <v>71</v>
      </c>
      <c r="AW67" s="28" t="s">
        <v>71</v>
      </c>
      <c r="AX67" s="28" t="s">
        <v>71</v>
      </c>
      <c r="AY67" s="28" t="s">
        <v>71</v>
      </c>
      <c r="AZ67" s="138" t="s">
        <v>71</v>
      </c>
    </row>
    <row r="68" spans="1:52" ht="12">
      <c r="A68" s="22" t="s">
        <v>53</v>
      </c>
      <c r="C68" s="42">
        <f>(C24/C61)*100</f>
        <v>194.62864641009693</v>
      </c>
      <c r="D68" s="42">
        <f>(D24/D61)*100</f>
        <v>211.19354572631755</v>
      </c>
      <c r="E68" s="42">
        <f>(E24/E61)*100</f>
        <v>235.1427139954088</v>
      </c>
      <c r="F68" s="42" t="e">
        <f>(F24/F61)*100</f>
        <v>#DIV/0!</v>
      </c>
      <c r="G68" s="43" t="e">
        <f>(G24/G61)*100</f>
        <v>#DIV/0!</v>
      </c>
      <c r="K68" s="28" t="s">
        <v>68</v>
      </c>
      <c r="L68" s="28" t="s">
        <v>68</v>
      </c>
      <c r="M68" s="28" t="s">
        <v>68</v>
      </c>
      <c r="N68" s="28" t="s">
        <v>68</v>
      </c>
      <c r="O68" s="28" t="s">
        <v>68</v>
      </c>
      <c r="P68" s="29" t="s">
        <v>68</v>
      </c>
      <c r="S68" s="22" t="s">
        <v>219</v>
      </c>
      <c r="T68" s="28" t="s">
        <v>38</v>
      </c>
      <c r="U68" s="28" t="s">
        <v>38</v>
      </c>
      <c r="V68" s="28" t="s">
        <v>38</v>
      </c>
      <c r="W68" s="28" t="s">
        <v>38</v>
      </c>
      <c r="X68" s="28" t="s">
        <v>38</v>
      </c>
      <c r="Y68" s="138" t="s">
        <v>38</v>
      </c>
      <c r="AC68" s="28" t="s">
        <v>68</v>
      </c>
      <c r="AD68" s="28" t="s">
        <v>68</v>
      </c>
      <c r="AE68" s="28" t="s">
        <v>68</v>
      </c>
      <c r="AF68" s="28" t="s">
        <v>68</v>
      </c>
      <c r="AG68" s="28" t="s">
        <v>68</v>
      </c>
      <c r="AH68" s="138" t="s">
        <v>68</v>
      </c>
      <c r="AI68" s="25"/>
      <c r="AJ68" s="25"/>
      <c r="AK68" s="25"/>
      <c r="AL68" s="28" t="s">
        <v>38</v>
      </c>
      <c r="AM68" s="28" t="s">
        <v>38</v>
      </c>
      <c r="AN68" s="28" t="s">
        <v>38</v>
      </c>
      <c r="AO68" s="28" t="s">
        <v>38</v>
      </c>
      <c r="AP68" s="28" t="s">
        <v>38</v>
      </c>
      <c r="AQ68" s="143" t="s">
        <v>38</v>
      </c>
      <c r="AU68" s="28" t="s">
        <v>38</v>
      </c>
      <c r="AV68" s="28" t="s">
        <v>38</v>
      </c>
      <c r="AW68" s="28" t="s">
        <v>38</v>
      </c>
      <c r="AX68" s="28" t="s">
        <v>38</v>
      </c>
      <c r="AY68" s="28" t="s">
        <v>38</v>
      </c>
      <c r="AZ68" s="143" t="s">
        <v>38</v>
      </c>
    </row>
    <row r="69" spans="1:52" ht="12">
      <c r="A69" s="22" t="s">
        <v>65</v>
      </c>
      <c r="C69" s="42">
        <f>(C28-C29)/C30</f>
        <v>12.765803378188098</v>
      </c>
      <c r="D69" s="42">
        <f>(D28-D29)/D30</f>
        <v>11.70394581078818</v>
      </c>
      <c r="E69" s="42">
        <f>(E28-E29)/E30</f>
        <v>19.419731299537332</v>
      </c>
      <c r="F69" s="42" t="e">
        <f>(F28-F29)/F30</f>
        <v>#DIV/0!</v>
      </c>
      <c r="G69" s="43" t="e">
        <f>(G28-G29)/G30</f>
        <v>#DIV/0!</v>
      </c>
      <c r="H69" s="25" t="s">
        <v>26</v>
      </c>
      <c r="I69" s="22"/>
      <c r="J69" s="22"/>
      <c r="K69" s="42"/>
      <c r="L69" s="42"/>
      <c r="M69" s="42"/>
      <c r="N69" s="42"/>
      <c r="O69" s="42"/>
      <c r="P69" s="43" t="e">
        <f>AVERAGE(K69:O69)</f>
        <v>#DIV/0!</v>
      </c>
      <c r="Q69" s="25" t="s">
        <v>26</v>
      </c>
      <c r="R69" s="22"/>
      <c r="S69" s="132">
        <f>T69-X69</f>
        <v>843.0600000000001</v>
      </c>
      <c r="T69" s="42">
        <v>1817.96</v>
      </c>
      <c r="U69" s="42">
        <v>1337.43</v>
      </c>
      <c r="V69" s="42">
        <v>1083.51</v>
      </c>
      <c r="W69" s="42">
        <v>971</v>
      </c>
      <c r="X69" s="42">
        <v>974.9</v>
      </c>
      <c r="Y69" s="53">
        <f>AVERAGE(T69:X69)</f>
        <v>1236.96</v>
      </c>
      <c r="Z69" s="25" t="s">
        <v>26</v>
      </c>
      <c r="AA69" s="22"/>
      <c r="AB69" s="132">
        <f>AC69-AG69</f>
        <v>364</v>
      </c>
      <c r="AC69" s="42">
        <v>692</v>
      </c>
      <c r="AD69" s="42">
        <v>742</v>
      </c>
      <c r="AE69" s="42">
        <v>492</v>
      </c>
      <c r="AF69" s="42">
        <v>384</v>
      </c>
      <c r="AG69" s="42">
        <v>328</v>
      </c>
      <c r="AH69" s="53">
        <f>AVERAGE(AC69:AG69)</f>
        <v>527.6</v>
      </c>
      <c r="AI69" s="25" t="s">
        <v>26</v>
      </c>
      <c r="AJ69" s="22"/>
      <c r="AK69" s="132">
        <f>AL69-AP69</f>
        <v>728</v>
      </c>
      <c r="AL69" s="42">
        <f aca="true" t="shared" si="24" ref="AL69:AP73">2*AC69</f>
        <v>1384</v>
      </c>
      <c r="AM69" s="42">
        <f t="shared" si="24"/>
        <v>1484</v>
      </c>
      <c r="AN69" s="42">
        <f t="shared" si="24"/>
        <v>984</v>
      </c>
      <c r="AO69" s="42">
        <f t="shared" si="24"/>
        <v>768</v>
      </c>
      <c r="AP69" s="42">
        <f t="shared" si="24"/>
        <v>656</v>
      </c>
      <c r="AQ69" s="53">
        <f>AVERAGE(AL69:AP69)</f>
        <v>1055.2</v>
      </c>
      <c r="AR69" s="25" t="s">
        <v>26</v>
      </c>
      <c r="AS69" s="22"/>
      <c r="AT69" s="132">
        <f>AU69-AY69</f>
        <v>4810</v>
      </c>
      <c r="AU69" s="42">
        <v>16936</v>
      </c>
      <c r="AV69" s="42">
        <v>13770</v>
      </c>
      <c r="AW69" s="42">
        <v>13025</v>
      </c>
      <c r="AX69" s="42">
        <v>11593</v>
      </c>
      <c r="AY69" s="42">
        <v>12126</v>
      </c>
      <c r="AZ69" s="53">
        <f>AVERAGE(AU69:AY69)</f>
        <v>13490</v>
      </c>
    </row>
    <row r="70" spans="1:52" ht="12">
      <c r="A70" s="22" t="s">
        <v>54</v>
      </c>
      <c r="C70" s="42">
        <f>C30/-C33</f>
        <v>20.3570798588839</v>
      </c>
      <c r="D70" s="42">
        <f>D30/-D33</f>
        <v>6.842269548381998</v>
      </c>
      <c r="E70" s="42">
        <f>E30/-E33</f>
        <v>2.754771617594217</v>
      </c>
      <c r="F70" s="42" t="e">
        <f>F30/-F33</f>
        <v>#DIV/0!</v>
      </c>
      <c r="G70" s="43" t="e">
        <f>G30/-G33</f>
        <v>#DIV/0!</v>
      </c>
      <c r="H70" s="25" t="s">
        <v>93</v>
      </c>
      <c r="K70" s="42"/>
      <c r="L70" s="42"/>
      <c r="M70" s="42"/>
      <c r="N70" s="42"/>
      <c r="O70" s="42"/>
      <c r="P70" s="43" t="e">
        <f>AVERAGE(K70:O70)</f>
        <v>#DIV/0!</v>
      </c>
      <c r="Q70" s="25" t="s">
        <v>93</v>
      </c>
      <c r="S70" s="132">
        <f>T70-X70</f>
        <v>2045.98</v>
      </c>
      <c r="T70" s="42">
        <f>172+555+310+865+T69</f>
        <v>3719.96</v>
      </c>
      <c r="U70" s="42">
        <f>155+546+339+886+U69</f>
        <v>3263.4300000000003</v>
      </c>
      <c r="V70" s="42">
        <f>151+548+289+836+V69</f>
        <v>2907.51</v>
      </c>
      <c r="W70" s="42">
        <f>142+396+163+558+W69</f>
        <v>2230</v>
      </c>
      <c r="X70" s="42">
        <v>1673.98</v>
      </c>
      <c r="Y70" s="53">
        <f>AVERAGE(T70:X70)</f>
        <v>2758.976</v>
      </c>
      <c r="Z70" s="25" t="s">
        <v>93</v>
      </c>
      <c r="AB70" s="132">
        <f>AC70-AG70</f>
        <v>5535</v>
      </c>
      <c r="AC70" s="42">
        <f>6623+AC69</f>
        <v>7315</v>
      </c>
      <c r="AD70" s="42">
        <f>6376+AD69</f>
        <v>7118</v>
      </c>
      <c r="AE70" s="42">
        <f>1739+AE69</f>
        <v>2231</v>
      </c>
      <c r="AF70" s="42">
        <f>1609+AF69</f>
        <v>1993</v>
      </c>
      <c r="AG70" s="42">
        <f>1452+AG69</f>
        <v>1780</v>
      </c>
      <c r="AH70" s="53">
        <f>AVERAGE(AC70:AG70)</f>
        <v>4087.4</v>
      </c>
      <c r="AI70" s="25" t="s">
        <v>93</v>
      </c>
      <c r="AJ70" s="25"/>
      <c r="AK70" s="132">
        <f>AL70-AP70</f>
        <v>11070</v>
      </c>
      <c r="AL70" s="42">
        <f t="shared" si="24"/>
        <v>14630</v>
      </c>
      <c r="AM70" s="42">
        <f t="shared" si="24"/>
        <v>14236</v>
      </c>
      <c r="AN70" s="42">
        <f t="shared" si="24"/>
        <v>4462</v>
      </c>
      <c r="AO70" s="42">
        <f t="shared" si="24"/>
        <v>3986</v>
      </c>
      <c r="AP70" s="42">
        <f t="shared" si="24"/>
        <v>3560</v>
      </c>
      <c r="AQ70" s="53">
        <f>AVERAGE(AL70:AP70)</f>
        <v>8174.8</v>
      </c>
      <c r="AR70" s="25" t="s">
        <v>93</v>
      </c>
      <c r="AT70" s="132">
        <f>AU70-AY70</f>
        <v>8356</v>
      </c>
      <c r="AU70" s="42">
        <v>29932</v>
      </c>
      <c r="AV70" s="42">
        <v>24840</v>
      </c>
      <c r="AW70" s="42">
        <v>25652</v>
      </c>
      <c r="AX70" s="42">
        <v>23561</v>
      </c>
      <c r="AY70" s="42">
        <v>21576</v>
      </c>
      <c r="AZ70" s="53">
        <f>AVERAGE(AU70:AY70)</f>
        <v>25112.2</v>
      </c>
    </row>
    <row r="71" spans="1:52" ht="12">
      <c r="A71" s="22" t="s">
        <v>59</v>
      </c>
      <c r="C71" s="42">
        <f>(C40/(C22+C23))*100</f>
        <v>411.21331031235286</v>
      </c>
      <c r="D71" s="42">
        <f>(D40/(D22+D23))*100</f>
        <v>32.16955193781181</v>
      </c>
      <c r="E71" s="42">
        <f>(E40/(E22+E23))*100</f>
        <v>54.283295120489385</v>
      </c>
      <c r="F71" s="42" t="e">
        <f>(F40/(F22+F23))*100</f>
        <v>#DIV/0!</v>
      </c>
      <c r="G71" s="43" t="e">
        <f>(G40/(G22+G23))*100</f>
        <v>#DIV/0!</v>
      </c>
      <c r="H71" s="25" t="s">
        <v>72</v>
      </c>
      <c r="K71" s="42"/>
      <c r="L71" s="42"/>
      <c r="M71" s="42"/>
      <c r="N71" s="42"/>
      <c r="O71" s="42"/>
      <c r="P71" s="43" t="e">
        <f>AVERAGE(K71:O71)</f>
        <v>#DIV/0!</v>
      </c>
      <c r="Q71" s="25" t="s">
        <v>72</v>
      </c>
      <c r="S71" s="132">
        <f>T71-X71</f>
        <v>300.7800000000001</v>
      </c>
      <c r="T71" s="42">
        <v>1041.2</v>
      </c>
      <c r="U71" s="42">
        <v>785.1</v>
      </c>
      <c r="V71" s="42">
        <v>685.91</v>
      </c>
      <c r="W71" s="42">
        <v>611.41</v>
      </c>
      <c r="X71" s="42">
        <v>740.42</v>
      </c>
      <c r="Y71" s="53">
        <f>AVERAGE(T71:X71)</f>
        <v>772.808</v>
      </c>
      <c r="Z71" s="25" t="s">
        <v>72</v>
      </c>
      <c r="AB71" s="132">
        <f>AC71-AG71</f>
        <v>1192</v>
      </c>
      <c r="AC71" s="42">
        <v>1807</v>
      </c>
      <c r="AD71" s="42">
        <v>1712</v>
      </c>
      <c r="AE71" s="42">
        <v>322</v>
      </c>
      <c r="AF71" s="42">
        <v>307</v>
      </c>
      <c r="AG71" s="42">
        <v>615</v>
      </c>
      <c r="AH71" s="53">
        <f>AVERAGE(AC71:AG71)</f>
        <v>952.6</v>
      </c>
      <c r="AI71" s="25" t="s">
        <v>72</v>
      </c>
      <c r="AJ71" s="25"/>
      <c r="AK71" s="132">
        <f>AL71-AP71</f>
        <v>2384</v>
      </c>
      <c r="AL71" s="42">
        <f t="shared" si="24"/>
        <v>3614</v>
      </c>
      <c r="AM71" s="42">
        <f t="shared" si="24"/>
        <v>3424</v>
      </c>
      <c r="AN71" s="42">
        <f t="shared" si="24"/>
        <v>644</v>
      </c>
      <c r="AO71" s="42">
        <f t="shared" si="24"/>
        <v>614</v>
      </c>
      <c r="AP71" s="42">
        <f t="shared" si="24"/>
        <v>1230</v>
      </c>
      <c r="AQ71" s="53">
        <f>AVERAGE(AL71:AP71)</f>
        <v>1905.2</v>
      </c>
      <c r="AR71" s="25" t="s">
        <v>72</v>
      </c>
      <c r="AT71" s="132">
        <f>AU71-AY71</f>
        <v>1232</v>
      </c>
      <c r="AU71" s="42">
        <v>9447</v>
      </c>
      <c r="AV71" s="42">
        <v>6839</v>
      </c>
      <c r="AW71" s="42">
        <v>6587</v>
      </c>
      <c r="AX71" s="42">
        <v>6558</v>
      </c>
      <c r="AY71" s="42">
        <v>8215</v>
      </c>
      <c r="AZ71" s="53">
        <f>AVERAGE(AU71:AY71)</f>
        <v>7529.2</v>
      </c>
    </row>
    <row r="72" spans="1:52" ht="12">
      <c r="A72" s="22" t="s">
        <v>60</v>
      </c>
      <c r="H72" s="25" t="s">
        <v>35</v>
      </c>
      <c r="K72" s="42"/>
      <c r="L72" s="42"/>
      <c r="M72" s="42"/>
      <c r="N72" s="42"/>
      <c r="O72" s="42"/>
      <c r="P72" s="43" t="e">
        <f>AVERAGE(K72:O72)</f>
        <v>#DIV/0!</v>
      </c>
      <c r="Q72" s="25" t="s">
        <v>35</v>
      </c>
      <c r="S72" s="132">
        <f>T72-X72</f>
        <v>445.83000000000004</v>
      </c>
      <c r="T72" s="42">
        <f>78+304+7+T71</f>
        <v>1430.2</v>
      </c>
      <c r="U72" s="42">
        <f>90+331+7+U71</f>
        <v>1213.1</v>
      </c>
      <c r="V72" s="42">
        <f>79+296+6+V71</f>
        <v>1066.9099999999999</v>
      </c>
      <c r="W72" s="42">
        <f>18+194+5+W71</f>
        <v>828.41</v>
      </c>
      <c r="X72" s="42">
        <v>984.37</v>
      </c>
      <c r="Y72" s="53">
        <f>AVERAGE(T72:X72)</f>
        <v>1104.598</v>
      </c>
      <c r="Z72" s="25" t="s">
        <v>35</v>
      </c>
      <c r="AB72" s="132">
        <f>AC72-AG72</f>
        <v>3130</v>
      </c>
      <c r="AC72" s="42">
        <f>1988+AC71</f>
        <v>3795</v>
      </c>
      <c r="AD72" s="42">
        <f>1982+AD71</f>
        <v>3694</v>
      </c>
      <c r="AE72" s="42">
        <f>52+AE71</f>
        <v>374</v>
      </c>
      <c r="AF72" s="42">
        <f>49+AF71</f>
        <v>356</v>
      </c>
      <c r="AG72" s="42">
        <f>50+AG71</f>
        <v>665</v>
      </c>
      <c r="AH72" s="53">
        <f>AVERAGE(AC72:AG72)</f>
        <v>1776.8</v>
      </c>
      <c r="AI72" s="25" t="s">
        <v>35</v>
      </c>
      <c r="AJ72" s="25"/>
      <c r="AK72" s="132">
        <f>AL72-AP72</f>
        <v>6260</v>
      </c>
      <c r="AL72" s="42">
        <f t="shared" si="24"/>
        <v>7590</v>
      </c>
      <c r="AM72" s="42">
        <f t="shared" si="24"/>
        <v>7388</v>
      </c>
      <c r="AN72" s="42">
        <f t="shared" si="24"/>
        <v>748</v>
      </c>
      <c r="AO72" s="42">
        <f t="shared" si="24"/>
        <v>712</v>
      </c>
      <c r="AP72" s="42">
        <f t="shared" si="24"/>
        <v>1330</v>
      </c>
      <c r="AQ72" s="53">
        <f>AVERAGE(AL72:AP72)</f>
        <v>3553.6</v>
      </c>
      <c r="AR72" s="25" t="s">
        <v>35</v>
      </c>
      <c r="AT72" s="132">
        <f>AU72-AY72</f>
        <v>5939</v>
      </c>
      <c r="AU72" s="42">
        <v>14516</v>
      </c>
      <c r="AV72" s="42">
        <v>11149</v>
      </c>
      <c r="AW72" s="42">
        <v>11155</v>
      </c>
      <c r="AX72" s="42">
        <v>10386</v>
      </c>
      <c r="AY72" s="42">
        <f>362+AY71</f>
        <v>8577</v>
      </c>
      <c r="AZ72" s="53">
        <f>AVERAGE(AU72:AY72)</f>
        <v>11156.6</v>
      </c>
    </row>
    <row r="73" spans="2:52" ht="12">
      <c r="B73" s="22" t="s">
        <v>61</v>
      </c>
      <c r="C73" s="25">
        <v>3.65</v>
      </c>
      <c r="D73" s="25">
        <v>-2.36</v>
      </c>
      <c r="E73" s="25">
        <v>-57.84</v>
      </c>
      <c r="H73" s="25" t="s">
        <v>100</v>
      </c>
      <c r="K73" s="42"/>
      <c r="L73" s="42"/>
      <c r="M73" s="42"/>
      <c r="N73" s="42"/>
      <c r="O73" s="42"/>
      <c r="P73" s="43" t="e">
        <f>AVERAGE(K73:O73)</f>
        <v>#DIV/0!</v>
      </c>
      <c r="Q73" s="25" t="s">
        <v>100</v>
      </c>
      <c r="S73" s="132">
        <f>T73-X73</f>
        <v>733.6</v>
      </c>
      <c r="T73" s="42">
        <v>1423.21</v>
      </c>
      <c r="U73" s="42">
        <v>1165.78</v>
      </c>
      <c r="V73" s="42">
        <v>1005.03</v>
      </c>
      <c r="W73" s="42">
        <v>842.08</v>
      </c>
      <c r="X73" s="42">
        <v>689.61</v>
      </c>
      <c r="Y73" s="53">
        <f>AVERAGE(T73:X73)</f>
        <v>1025.1419999999998</v>
      </c>
      <c r="Z73" s="25" t="s">
        <v>100</v>
      </c>
      <c r="AB73" s="132">
        <f>AC73-AG73</f>
        <v>2543</v>
      </c>
      <c r="AC73" s="42">
        <v>3647</v>
      </c>
      <c r="AD73" s="42">
        <v>4006</v>
      </c>
      <c r="AE73" s="42">
        <v>1316</v>
      </c>
      <c r="AF73" s="42">
        <v>1228</v>
      </c>
      <c r="AG73" s="42">
        <v>1104</v>
      </c>
      <c r="AH73" s="53">
        <f>AVERAGE(AC73:AG73)</f>
        <v>2260.2</v>
      </c>
      <c r="AI73" s="25" t="s">
        <v>100</v>
      </c>
      <c r="AJ73" s="25"/>
      <c r="AK73" s="132">
        <f>AL73-AP73</f>
        <v>5086</v>
      </c>
      <c r="AL73" s="42">
        <f t="shared" si="24"/>
        <v>7294</v>
      </c>
      <c r="AM73" s="42">
        <f t="shared" si="24"/>
        <v>8012</v>
      </c>
      <c r="AN73" s="42">
        <f t="shared" si="24"/>
        <v>2632</v>
      </c>
      <c r="AO73" s="42">
        <f t="shared" si="24"/>
        <v>2456</v>
      </c>
      <c r="AP73" s="42">
        <f t="shared" si="24"/>
        <v>2208</v>
      </c>
      <c r="AQ73" s="53">
        <f>AVERAGE(AL73:AP73)</f>
        <v>4520.4</v>
      </c>
      <c r="AR73" s="25" t="s">
        <v>100</v>
      </c>
      <c r="AT73" s="132">
        <f>AU73-AY73</f>
        <v>4244</v>
      </c>
      <c r="AU73" s="42">
        <v>15416</v>
      </c>
      <c r="AV73" s="42">
        <v>13691</v>
      </c>
      <c r="AW73" s="42">
        <v>14497</v>
      </c>
      <c r="AX73" s="42">
        <v>13175</v>
      </c>
      <c r="AY73" s="42">
        <v>11172</v>
      </c>
      <c r="AZ73" s="53">
        <f>AVERAGE(AU73:AY73)</f>
        <v>13590.2</v>
      </c>
    </row>
    <row r="74" spans="2:52" ht="12">
      <c r="B74" s="22"/>
      <c r="H74" s="22"/>
      <c r="I74" s="22"/>
      <c r="J74" s="22"/>
      <c r="K74" s="42"/>
      <c r="L74" s="42"/>
      <c r="M74" s="42"/>
      <c r="N74" s="42"/>
      <c r="O74" s="42"/>
      <c r="P74" s="43"/>
      <c r="Q74" s="22"/>
      <c r="R74" s="22"/>
      <c r="S74" s="22"/>
      <c r="T74" s="42"/>
      <c r="U74" s="42"/>
      <c r="V74" s="42"/>
      <c r="W74" s="42"/>
      <c r="X74" s="42"/>
      <c r="Y74" s="53"/>
      <c r="Z74" s="22"/>
      <c r="AA74" s="22"/>
      <c r="AB74" s="22"/>
      <c r="AC74" s="42"/>
      <c r="AD74" s="42"/>
      <c r="AE74" s="42"/>
      <c r="AF74" s="42"/>
      <c r="AG74" s="42"/>
      <c r="AH74" s="53"/>
      <c r="AI74" s="22"/>
      <c r="AJ74" s="22"/>
      <c r="AK74" s="22"/>
      <c r="AL74" s="42"/>
      <c r="AM74" s="42"/>
      <c r="AN74" s="42"/>
      <c r="AO74" s="42"/>
      <c r="AP74" s="42"/>
      <c r="AQ74" s="53"/>
      <c r="AR74" s="22"/>
      <c r="AS74" s="22"/>
      <c r="AT74" s="22"/>
      <c r="AU74" s="42"/>
      <c r="AV74" s="42"/>
      <c r="AW74" s="42"/>
      <c r="AX74" s="42"/>
      <c r="AY74" s="42"/>
      <c r="AZ74" s="53"/>
    </row>
    <row r="75" spans="2:52" ht="12">
      <c r="B75" s="22" t="s">
        <v>62</v>
      </c>
      <c r="C75" s="25">
        <v>3.43</v>
      </c>
      <c r="D75" s="25">
        <v>-2.36</v>
      </c>
      <c r="E75" s="25">
        <v>-57.84</v>
      </c>
      <c r="H75" s="25" t="s">
        <v>73</v>
      </c>
      <c r="K75" s="42"/>
      <c r="L75" s="42"/>
      <c r="M75" s="42"/>
      <c r="N75" s="42"/>
      <c r="O75" s="42"/>
      <c r="P75" s="43" t="e">
        <f aca="true" t="shared" si="25" ref="P75:P80">AVERAGE(K75:O75)</f>
        <v>#DIV/0!</v>
      </c>
      <c r="Q75" s="25" t="s">
        <v>73</v>
      </c>
      <c r="S75" s="132">
        <f aca="true" t="shared" si="26" ref="S75:S80">T75-X75</f>
        <v>2865.6100000000006</v>
      </c>
      <c r="T75" s="42">
        <v>7421.27</v>
      </c>
      <c r="U75" s="42">
        <v>5635</v>
      </c>
      <c r="V75" s="42">
        <v>4594.24</v>
      </c>
      <c r="W75" s="42">
        <v>4615.6</v>
      </c>
      <c r="X75" s="42">
        <v>4555.66</v>
      </c>
      <c r="Y75" s="53">
        <f aca="true" t="shared" si="27" ref="Y75:Y80">AVERAGE(T75:X75)</f>
        <v>5364.354</v>
      </c>
      <c r="Z75" s="25" t="s">
        <v>73</v>
      </c>
      <c r="AB75" s="132">
        <f aca="true" t="shared" si="28" ref="AB75:AB80">AC75-AG75</f>
        <v>8165.799999999999</v>
      </c>
      <c r="AC75" s="42">
        <v>12114.8</v>
      </c>
      <c r="AD75" s="42">
        <v>12104</v>
      </c>
      <c r="AE75" s="42">
        <v>4959</v>
      </c>
      <c r="AF75" s="42">
        <v>4303</v>
      </c>
      <c r="AG75" s="42">
        <v>3949</v>
      </c>
      <c r="AH75" s="53">
        <f aca="true" t="shared" si="29" ref="AH75:AH80">AVERAGE(AC75:AG75)</f>
        <v>7485.960000000001</v>
      </c>
      <c r="AI75" s="25" t="s">
        <v>73</v>
      </c>
      <c r="AJ75" s="25"/>
      <c r="AK75" s="132">
        <f aca="true" t="shared" si="30" ref="AK75:AK80">AL75-AP75</f>
        <v>16331.599999999999</v>
      </c>
      <c r="AL75" s="42">
        <f aca="true" t="shared" si="31" ref="AL75:AP80">2*AC75</f>
        <v>24229.6</v>
      </c>
      <c r="AM75" s="42">
        <f t="shared" si="31"/>
        <v>24208</v>
      </c>
      <c r="AN75" s="42">
        <f t="shared" si="31"/>
        <v>9918</v>
      </c>
      <c r="AO75" s="42">
        <f t="shared" si="31"/>
        <v>8606</v>
      </c>
      <c r="AP75" s="42">
        <f t="shared" si="31"/>
        <v>7898</v>
      </c>
      <c r="AQ75" s="53">
        <f aca="true" t="shared" si="32" ref="AQ75:AQ80">AVERAGE(AL75:AP75)</f>
        <v>14971.920000000002</v>
      </c>
      <c r="AR75" s="25" t="s">
        <v>73</v>
      </c>
      <c r="AT75" s="132">
        <f aca="true" t="shared" si="33" ref="AT75:AT80">AU75-AY75</f>
        <v>8634</v>
      </c>
      <c r="AU75" s="42">
        <v>26475</v>
      </c>
      <c r="AV75" s="42">
        <v>23950</v>
      </c>
      <c r="AW75" s="42">
        <v>21426</v>
      </c>
      <c r="AX75" s="42">
        <v>18849</v>
      </c>
      <c r="AY75" s="42">
        <v>17841</v>
      </c>
      <c r="AZ75" s="53">
        <f aca="true" t="shared" si="34" ref="AZ75:AZ80">AVERAGE(AU75:AY75)</f>
        <v>21708.2</v>
      </c>
    </row>
    <row r="76" spans="8:52" ht="12">
      <c r="H76" s="25" t="s">
        <v>74</v>
      </c>
      <c r="K76" s="42"/>
      <c r="L76" s="42"/>
      <c r="M76" s="42"/>
      <c r="N76" s="42"/>
      <c r="O76" s="42"/>
      <c r="P76" s="43" t="e">
        <f t="shared" si="25"/>
        <v>#DIV/0!</v>
      </c>
      <c r="Q76" s="25" t="s">
        <v>74</v>
      </c>
      <c r="S76" s="132">
        <f t="shared" si="26"/>
        <v>2736.42</v>
      </c>
      <c r="T76" s="42">
        <v>7119.71</v>
      </c>
      <c r="U76" s="42">
        <v>5420.11</v>
      </c>
      <c r="V76" s="42">
        <v>4395.97</v>
      </c>
      <c r="W76" s="42">
        <v>4418.49</v>
      </c>
      <c r="X76" s="42">
        <v>4383.29</v>
      </c>
      <c r="Y76" s="53">
        <f t="shared" si="27"/>
        <v>5147.514</v>
      </c>
      <c r="Z76" s="25" t="s">
        <v>74</v>
      </c>
      <c r="AB76" s="132">
        <f t="shared" si="28"/>
        <v>9000</v>
      </c>
      <c r="AC76" s="42">
        <v>11978</v>
      </c>
      <c r="AD76" s="42">
        <f>9110-18.3</f>
        <v>9091.7</v>
      </c>
      <c r="AE76" s="42">
        <v>3696</v>
      </c>
      <c r="AF76" s="42">
        <v>3196</v>
      </c>
      <c r="AG76" s="42">
        <v>2978</v>
      </c>
      <c r="AH76" s="53">
        <f t="shared" si="29"/>
        <v>6187.9400000000005</v>
      </c>
      <c r="AI76" s="25" t="s">
        <v>74</v>
      </c>
      <c r="AJ76" s="25"/>
      <c r="AK76" s="132">
        <f t="shared" si="30"/>
        <v>18000</v>
      </c>
      <c r="AL76" s="42">
        <f t="shared" si="31"/>
        <v>23956</v>
      </c>
      <c r="AM76" s="42">
        <f t="shared" si="31"/>
        <v>18183.4</v>
      </c>
      <c r="AN76" s="42">
        <f t="shared" si="31"/>
        <v>7392</v>
      </c>
      <c r="AO76" s="42">
        <f t="shared" si="31"/>
        <v>6392</v>
      </c>
      <c r="AP76" s="42">
        <f t="shared" si="31"/>
        <v>5956</v>
      </c>
      <c r="AQ76" s="53">
        <f t="shared" si="32"/>
        <v>12375.880000000001</v>
      </c>
      <c r="AR76" s="25" t="s">
        <v>74</v>
      </c>
      <c r="AT76" s="132">
        <f t="shared" si="33"/>
        <v>4181</v>
      </c>
      <c r="AU76" s="42">
        <f>AU75-AU77</f>
        <v>18259</v>
      </c>
      <c r="AV76" s="42">
        <f>AV75-AV77</f>
        <v>17448</v>
      </c>
      <c r="AW76" s="42">
        <f>AW75-AW77</f>
        <v>16879</v>
      </c>
      <c r="AX76" s="42">
        <f>AX75-AX77</f>
        <v>14842</v>
      </c>
      <c r="AY76" s="42">
        <v>14078</v>
      </c>
      <c r="AZ76" s="53">
        <f t="shared" si="34"/>
        <v>16301.2</v>
      </c>
    </row>
    <row r="77" spans="1:52" ht="12">
      <c r="A77" s="22" t="s">
        <v>69</v>
      </c>
      <c r="H77" s="25" t="s">
        <v>116</v>
      </c>
      <c r="K77" s="42">
        <f>K75-K76</f>
        <v>0</v>
      </c>
      <c r="L77" s="42">
        <f>L75-L76</f>
        <v>0</v>
      </c>
      <c r="M77" s="42">
        <f>M75-M76</f>
        <v>0</v>
      </c>
      <c r="N77" s="42">
        <f>N75-N76</f>
        <v>0</v>
      </c>
      <c r="O77" s="42">
        <f>O75-O76</f>
        <v>0</v>
      </c>
      <c r="P77" s="43">
        <f t="shared" si="25"/>
        <v>0</v>
      </c>
      <c r="Q77" s="25" t="s">
        <v>116</v>
      </c>
      <c r="S77" s="132">
        <f t="shared" si="26"/>
        <v>129.1900000000005</v>
      </c>
      <c r="T77" s="42">
        <f>T75-T76</f>
        <v>301.5600000000004</v>
      </c>
      <c r="U77" s="42">
        <f>U75-U76</f>
        <v>214.89000000000033</v>
      </c>
      <c r="V77" s="42">
        <f>V75-V76</f>
        <v>198.26999999999953</v>
      </c>
      <c r="W77" s="42">
        <f>W75-W76</f>
        <v>197.11000000000058</v>
      </c>
      <c r="X77" s="42">
        <f>X75-X76</f>
        <v>172.3699999999999</v>
      </c>
      <c r="Y77" s="53">
        <f t="shared" si="27"/>
        <v>216.84000000000015</v>
      </c>
      <c r="Z77" s="25" t="s">
        <v>116</v>
      </c>
      <c r="AB77" s="132">
        <f t="shared" si="28"/>
        <v>-834.2000000000007</v>
      </c>
      <c r="AC77" s="42">
        <f>AC75-AC76</f>
        <v>136.79999999999927</v>
      </c>
      <c r="AD77" s="42">
        <f>AD75-AD76</f>
        <v>3012.2999999999993</v>
      </c>
      <c r="AE77" s="42">
        <f>AE75-AE76</f>
        <v>1263</v>
      </c>
      <c r="AF77" s="42">
        <f>AF75-AF76</f>
        <v>1107</v>
      </c>
      <c r="AG77" s="42">
        <f>AG75-AG76</f>
        <v>971</v>
      </c>
      <c r="AH77" s="53">
        <f t="shared" si="29"/>
        <v>1298.0199999999998</v>
      </c>
      <c r="AI77" s="25" t="s">
        <v>116</v>
      </c>
      <c r="AJ77" s="25"/>
      <c r="AK77" s="132">
        <f t="shared" si="30"/>
        <v>-1668.4000000000015</v>
      </c>
      <c r="AL77" s="42">
        <f t="shared" si="31"/>
        <v>273.59999999999854</v>
      </c>
      <c r="AM77" s="42">
        <f t="shared" si="31"/>
        <v>6024.5999999999985</v>
      </c>
      <c r="AN77" s="42">
        <f t="shared" si="31"/>
        <v>2526</v>
      </c>
      <c r="AO77" s="42">
        <f t="shared" si="31"/>
        <v>2214</v>
      </c>
      <c r="AP77" s="42">
        <f t="shared" si="31"/>
        <v>1942</v>
      </c>
      <c r="AQ77" s="53">
        <f t="shared" si="32"/>
        <v>2596.0399999999995</v>
      </c>
      <c r="AR77" s="25" t="s">
        <v>116</v>
      </c>
      <c r="AT77" s="132">
        <f t="shared" si="33"/>
        <v>4453</v>
      </c>
      <c r="AU77" s="42">
        <v>8216</v>
      </c>
      <c r="AV77" s="42">
        <v>6502</v>
      </c>
      <c r="AW77" s="42">
        <v>4547</v>
      </c>
      <c r="AX77" s="42">
        <v>4007</v>
      </c>
      <c r="AY77" s="42">
        <f>AY75-AY76</f>
        <v>3763</v>
      </c>
      <c r="AZ77" s="53">
        <f t="shared" si="34"/>
        <v>5407</v>
      </c>
    </row>
    <row r="78" spans="8:52" ht="12">
      <c r="H78" s="25" t="s">
        <v>82</v>
      </c>
      <c r="K78" s="42"/>
      <c r="L78" s="42"/>
      <c r="M78" s="42"/>
      <c r="N78" s="42"/>
      <c r="O78" s="42"/>
      <c r="P78" s="43" t="e">
        <f t="shared" si="25"/>
        <v>#DIV/0!</v>
      </c>
      <c r="Q78" s="25" t="s">
        <v>82</v>
      </c>
      <c r="S78" s="132">
        <f t="shared" si="26"/>
        <v>-0.0039999999999995595</v>
      </c>
      <c r="T78" s="42">
        <v>7.496</v>
      </c>
      <c r="U78" s="42">
        <v>6.471</v>
      </c>
      <c r="V78" s="42">
        <v>3.57</v>
      </c>
      <c r="W78" s="42">
        <v>3.25</v>
      </c>
      <c r="X78" s="42">
        <v>7.5</v>
      </c>
      <c r="Y78" s="53">
        <f t="shared" si="27"/>
        <v>5.6574</v>
      </c>
      <c r="Z78" s="25" t="s">
        <v>82</v>
      </c>
      <c r="AB78" s="132">
        <f t="shared" si="28"/>
        <v>88</v>
      </c>
      <c r="AC78" s="42">
        <v>75</v>
      </c>
      <c r="AD78" s="42">
        <v>97</v>
      </c>
      <c r="AE78" s="42">
        <v>-14</v>
      </c>
      <c r="AF78" s="42">
        <v>-13</v>
      </c>
      <c r="AG78" s="42">
        <v>-13</v>
      </c>
      <c r="AH78" s="53">
        <f t="shared" si="29"/>
        <v>26.4</v>
      </c>
      <c r="AI78" s="25" t="s">
        <v>82</v>
      </c>
      <c r="AJ78" s="25"/>
      <c r="AK78" s="132">
        <f t="shared" si="30"/>
        <v>176</v>
      </c>
      <c r="AL78" s="42">
        <f t="shared" si="31"/>
        <v>150</v>
      </c>
      <c r="AM78" s="42">
        <f t="shared" si="31"/>
        <v>194</v>
      </c>
      <c r="AN78" s="42">
        <f t="shared" si="31"/>
        <v>-28</v>
      </c>
      <c r="AO78" s="42">
        <f t="shared" si="31"/>
        <v>-26</v>
      </c>
      <c r="AP78" s="42">
        <f t="shared" si="31"/>
        <v>-26</v>
      </c>
      <c r="AQ78" s="53">
        <f t="shared" si="32"/>
        <v>52.8</v>
      </c>
      <c r="AR78" s="25" t="s">
        <v>82</v>
      </c>
      <c r="AT78" s="132">
        <f t="shared" si="33"/>
        <v>-26</v>
      </c>
      <c r="AU78" s="42">
        <v>70</v>
      </c>
      <c r="AV78" s="42">
        <v>32</v>
      </c>
      <c r="AW78" s="42">
        <v>69</v>
      </c>
      <c r="AX78" s="42">
        <v>39</v>
      </c>
      <c r="AY78" s="42">
        <v>96</v>
      </c>
      <c r="AZ78" s="53">
        <f t="shared" si="34"/>
        <v>61.2</v>
      </c>
    </row>
    <row r="79" spans="1:52" ht="12">
      <c r="A79" s="25" t="s">
        <v>70</v>
      </c>
      <c r="H79" s="25" t="s">
        <v>83</v>
      </c>
      <c r="K79" s="42"/>
      <c r="L79" s="42"/>
      <c r="M79" s="42"/>
      <c r="N79" s="42"/>
      <c r="O79" s="42"/>
      <c r="P79" s="43" t="e">
        <f t="shared" si="25"/>
        <v>#DIV/0!</v>
      </c>
      <c r="Q79" s="25" t="s">
        <v>83</v>
      </c>
      <c r="S79" s="132">
        <f t="shared" si="26"/>
        <v>49.34</v>
      </c>
      <c r="T79" s="42">
        <v>108.4</v>
      </c>
      <c r="U79" s="42">
        <v>77.868</v>
      </c>
      <c r="V79" s="42">
        <v>69.45</v>
      </c>
      <c r="W79" s="42">
        <v>68.93</v>
      </c>
      <c r="X79" s="42">
        <v>59.06</v>
      </c>
      <c r="Y79" s="53">
        <f t="shared" si="27"/>
        <v>76.7416</v>
      </c>
      <c r="Z79" s="25" t="s">
        <v>83</v>
      </c>
      <c r="AB79" s="132">
        <f t="shared" si="28"/>
        <v>-121</v>
      </c>
      <c r="AC79" s="42">
        <v>-33</v>
      </c>
      <c r="AD79" s="42">
        <v>172</v>
      </c>
      <c r="AE79" s="42">
        <v>122</v>
      </c>
      <c r="AF79" s="42">
        <v>96</v>
      </c>
      <c r="AG79" s="42">
        <v>88</v>
      </c>
      <c r="AH79" s="53">
        <f t="shared" si="29"/>
        <v>89</v>
      </c>
      <c r="AI79" s="25" t="s">
        <v>83</v>
      </c>
      <c r="AJ79" s="25"/>
      <c r="AK79" s="132">
        <f t="shared" si="30"/>
        <v>-242</v>
      </c>
      <c r="AL79" s="42">
        <f t="shared" si="31"/>
        <v>-66</v>
      </c>
      <c r="AM79" s="42">
        <f t="shared" si="31"/>
        <v>344</v>
      </c>
      <c r="AN79" s="42">
        <f t="shared" si="31"/>
        <v>244</v>
      </c>
      <c r="AO79" s="42">
        <f t="shared" si="31"/>
        <v>192</v>
      </c>
      <c r="AP79" s="42">
        <f t="shared" si="31"/>
        <v>176</v>
      </c>
      <c r="AQ79" s="53">
        <f t="shared" si="32"/>
        <v>178</v>
      </c>
      <c r="AR79" s="25" t="s">
        <v>83</v>
      </c>
      <c r="AT79" s="132">
        <f t="shared" si="33"/>
        <v>1374</v>
      </c>
      <c r="AU79" s="42">
        <v>2169</v>
      </c>
      <c r="AV79" s="42">
        <v>1606</v>
      </c>
      <c r="AW79" s="42">
        <v>1246</v>
      </c>
      <c r="AX79" s="42">
        <v>886</v>
      </c>
      <c r="AY79" s="42">
        <v>795</v>
      </c>
      <c r="AZ79" s="53">
        <f t="shared" si="34"/>
        <v>1340.4</v>
      </c>
    </row>
    <row r="80" spans="1:52" ht="12">
      <c r="A80" s="25" t="s">
        <v>99</v>
      </c>
      <c r="H80" s="25" t="s">
        <v>98</v>
      </c>
      <c r="K80" s="42"/>
      <c r="L80" s="42"/>
      <c r="M80" s="42"/>
      <c r="N80" s="42"/>
      <c r="O80" s="42"/>
      <c r="P80" s="43" t="e">
        <f t="shared" si="25"/>
        <v>#DIV/0!</v>
      </c>
      <c r="Q80" s="25" t="s">
        <v>98</v>
      </c>
      <c r="S80" s="132">
        <f t="shared" si="26"/>
        <v>87.19</v>
      </c>
      <c r="T80" s="42">
        <v>196.88</v>
      </c>
      <c r="U80" s="42">
        <v>131.61</v>
      </c>
      <c r="V80" s="42">
        <v>128.98</v>
      </c>
      <c r="W80" s="42">
        <v>128.01</v>
      </c>
      <c r="X80" s="42">
        <v>109.69</v>
      </c>
      <c r="Y80" s="53">
        <f t="shared" si="27"/>
        <v>139.03400000000002</v>
      </c>
      <c r="Z80" s="25" t="s">
        <v>98</v>
      </c>
      <c r="AB80" s="132">
        <f t="shared" si="28"/>
        <v>-405</v>
      </c>
      <c r="AC80" s="42">
        <v>-250</v>
      </c>
      <c r="AD80" s="42">
        <v>105</v>
      </c>
      <c r="AE80" s="42">
        <v>198</v>
      </c>
      <c r="AF80" s="42">
        <v>186</v>
      </c>
      <c r="AG80" s="42">
        <v>155</v>
      </c>
      <c r="AH80" s="53">
        <f t="shared" si="29"/>
        <v>78.8</v>
      </c>
      <c r="AI80" s="25" t="s">
        <v>98</v>
      </c>
      <c r="AJ80" s="25"/>
      <c r="AK80" s="132">
        <f t="shared" si="30"/>
        <v>-810</v>
      </c>
      <c r="AL80" s="42">
        <f t="shared" si="31"/>
        <v>-500</v>
      </c>
      <c r="AM80" s="42">
        <f t="shared" si="31"/>
        <v>210</v>
      </c>
      <c r="AN80" s="42">
        <f t="shared" si="31"/>
        <v>396</v>
      </c>
      <c r="AO80" s="42">
        <f t="shared" si="31"/>
        <v>372</v>
      </c>
      <c r="AP80" s="42">
        <f t="shared" si="31"/>
        <v>310</v>
      </c>
      <c r="AQ80" s="53">
        <f t="shared" si="32"/>
        <v>157.6</v>
      </c>
      <c r="AR80" s="25" t="s">
        <v>98</v>
      </c>
      <c r="AT80" s="132">
        <f t="shared" si="33"/>
        <v>3227</v>
      </c>
      <c r="AU80" s="42">
        <v>6063</v>
      </c>
      <c r="AV80" s="42">
        <v>4724</v>
      </c>
      <c r="AW80" s="42">
        <v>3683</v>
      </c>
      <c r="AX80" s="42">
        <v>3044</v>
      </c>
      <c r="AY80" s="42">
        <v>2836</v>
      </c>
      <c r="AZ80" s="53">
        <f t="shared" si="34"/>
        <v>4070</v>
      </c>
    </row>
    <row r="81" spans="1:52" ht="12">
      <c r="A81" s="25" t="s">
        <v>78</v>
      </c>
      <c r="H81" s="22"/>
      <c r="I81" s="22"/>
      <c r="J81" s="22"/>
      <c r="K81" s="42"/>
      <c r="L81" s="42"/>
      <c r="M81" s="42"/>
      <c r="N81" s="42"/>
      <c r="O81" s="42"/>
      <c r="P81" s="43"/>
      <c r="Q81" s="22"/>
      <c r="R81" s="22"/>
      <c r="S81" s="22"/>
      <c r="T81" s="42"/>
      <c r="U81" s="42"/>
      <c r="V81" s="42"/>
      <c r="W81" s="42"/>
      <c r="X81" s="42"/>
      <c r="Y81" s="53"/>
      <c r="Z81" s="22"/>
      <c r="AA81" s="22"/>
      <c r="AB81" s="22"/>
      <c r="AC81" s="42"/>
      <c r="AD81" s="42"/>
      <c r="AE81" s="42"/>
      <c r="AF81" s="42"/>
      <c r="AG81" s="42"/>
      <c r="AH81" s="53"/>
      <c r="AI81" s="22"/>
      <c r="AJ81" s="22"/>
      <c r="AK81" s="22"/>
      <c r="AL81" s="42"/>
      <c r="AM81" s="42"/>
      <c r="AN81" s="42"/>
      <c r="AO81" s="42"/>
      <c r="AP81" s="42"/>
      <c r="AQ81" s="53"/>
      <c r="AR81" s="22"/>
      <c r="AS81" s="22"/>
      <c r="AT81" s="22"/>
      <c r="AU81" s="42"/>
      <c r="AV81" s="42"/>
      <c r="AW81" s="42"/>
      <c r="AX81" s="42"/>
      <c r="AY81" s="42"/>
      <c r="AZ81" s="53"/>
    </row>
    <row r="82" spans="1:52" ht="12.75">
      <c r="A82" s="25" t="s">
        <v>81</v>
      </c>
      <c r="Q82" s="25" t="s">
        <v>60</v>
      </c>
      <c r="T82" s="28" t="s">
        <v>38</v>
      </c>
      <c r="U82" s="28" t="s">
        <v>38</v>
      </c>
      <c r="V82" s="28" t="s">
        <v>38</v>
      </c>
      <c r="W82" s="28" t="s">
        <v>38</v>
      </c>
      <c r="X82" s="28" t="s">
        <v>38</v>
      </c>
      <c r="Y82" s="138" t="s">
        <v>38</v>
      </c>
      <c r="AH82" s="137"/>
      <c r="AI82" s="192" t="s">
        <v>60</v>
      </c>
      <c r="AJ82" s="193"/>
      <c r="AK82" s="193"/>
      <c r="AL82" s="28" t="s">
        <v>38</v>
      </c>
      <c r="AM82" s="28" t="s">
        <v>38</v>
      </c>
      <c r="AN82" s="28" t="s">
        <v>38</v>
      </c>
      <c r="AO82" s="28" t="s">
        <v>38</v>
      </c>
      <c r="AP82" s="28" t="s">
        <v>38</v>
      </c>
      <c r="AQ82" s="143" t="s">
        <v>38</v>
      </c>
      <c r="AR82" s="25" t="s">
        <v>60</v>
      </c>
      <c r="AT82" s="28" t="s">
        <v>17</v>
      </c>
      <c r="AU82" s="28" t="s">
        <v>38</v>
      </c>
      <c r="AV82" s="28" t="s">
        <v>38</v>
      </c>
      <c r="AW82" s="28" t="s">
        <v>38</v>
      </c>
      <c r="AX82" s="28" t="s">
        <v>38</v>
      </c>
      <c r="AY82" s="28" t="s">
        <v>38</v>
      </c>
      <c r="AZ82" s="143" t="s">
        <v>38</v>
      </c>
    </row>
    <row r="83" spans="1:52" ht="12">
      <c r="A83" s="25" t="s">
        <v>85</v>
      </c>
      <c r="K83" s="42"/>
      <c r="L83" s="42"/>
      <c r="M83" s="42"/>
      <c r="N83" s="42"/>
      <c r="O83" s="42"/>
      <c r="P83" s="43"/>
      <c r="R83" s="25" t="s">
        <v>61</v>
      </c>
      <c r="S83" s="44">
        <f>T83-X83</f>
        <v>-0.33999999999999986</v>
      </c>
      <c r="T83" s="54">
        <v>1.69</v>
      </c>
      <c r="U83" s="54">
        <v>2.31</v>
      </c>
      <c r="V83" s="54">
        <v>2.3</v>
      </c>
      <c r="W83" s="54">
        <v>2.32</v>
      </c>
      <c r="X83" s="54">
        <v>2.03</v>
      </c>
      <c r="Y83" s="142">
        <f>AVERAGE(T83:X83)</f>
        <v>2.13</v>
      </c>
      <c r="AC83" s="42"/>
      <c r="AD83" s="42"/>
      <c r="AE83" s="42"/>
      <c r="AF83" s="42"/>
      <c r="AG83" s="42"/>
      <c r="AH83" s="53"/>
      <c r="AI83" s="25"/>
      <c r="AJ83" s="25" t="s">
        <v>61</v>
      </c>
      <c r="AK83" s="44">
        <f>AL83-AP83</f>
        <v>-0.38</v>
      </c>
      <c r="AL83" s="33">
        <f aca="true" t="shared" si="35" ref="AL83:AP84">2*AC85</f>
        <v>-0.18</v>
      </c>
      <c r="AM83" s="33">
        <f t="shared" si="35"/>
        <v>0.08</v>
      </c>
      <c r="AN83" s="33">
        <f t="shared" si="35"/>
        <v>0.26</v>
      </c>
      <c r="AO83" s="33">
        <f t="shared" si="35"/>
        <v>0.24</v>
      </c>
      <c r="AP83" s="33">
        <f t="shared" si="35"/>
        <v>0.2</v>
      </c>
      <c r="AQ83" s="140">
        <f>AVERAGE(AL83:AP83)</f>
        <v>0.12000000000000002</v>
      </c>
      <c r="AS83" s="25" t="s">
        <v>61</v>
      </c>
      <c r="AT83" s="44">
        <f>AU83-AY83</f>
        <v>2.2199999999999998</v>
      </c>
      <c r="AU83" s="25">
        <v>3.86</v>
      </c>
      <c r="AV83" s="25">
        <v>2.91</v>
      </c>
      <c r="AW83" s="25">
        <v>2.18</v>
      </c>
      <c r="AX83" s="25">
        <v>1.77</v>
      </c>
      <c r="AY83" s="25">
        <v>1.64</v>
      </c>
      <c r="AZ83" s="140">
        <f>AVERAGE(AU83:AY83)</f>
        <v>2.472</v>
      </c>
    </row>
    <row r="84" spans="1:52" ht="12.75">
      <c r="A84" s="25" t="s">
        <v>87</v>
      </c>
      <c r="H84" s="25" t="s">
        <v>60</v>
      </c>
      <c r="J84" s="28" t="s">
        <v>17</v>
      </c>
      <c r="K84" s="28" t="s">
        <v>68</v>
      </c>
      <c r="L84" s="28" t="s">
        <v>68</v>
      </c>
      <c r="M84" s="28" t="s">
        <v>68</v>
      </c>
      <c r="N84" s="28" t="s">
        <v>68</v>
      </c>
      <c r="O84" s="28" t="s">
        <v>68</v>
      </c>
      <c r="P84" s="29" t="s">
        <v>68</v>
      </c>
      <c r="R84" s="25" t="s">
        <v>62</v>
      </c>
      <c r="S84" s="44">
        <f>T84-X84</f>
        <v>-0.3400000000000001</v>
      </c>
      <c r="T84" s="54">
        <v>1.64</v>
      </c>
      <c r="U84" s="54">
        <v>2.24</v>
      </c>
      <c r="V84" s="54">
        <v>2.25</v>
      </c>
      <c r="W84" s="54">
        <v>2.27</v>
      </c>
      <c r="X84" s="54">
        <v>1.98</v>
      </c>
      <c r="Y84" s="142">
        <f>AVERAGE(T84:X84)</f>
        <v>2.076</v>
      </c>
      <c r="Z84" s="192" t="s">
        <v>60</v>
      </c>
      <c r="AA84" s="193"/>
      <c r="AB84" s="193"/>
      <c r="AC84" s="28" t="s">
        <v>68</v>
      </c>
      <c r="AD84" s="28" t="s">
        <v>68</v>
      </c>
      <c r="AE84" s="28" t="s">
        <v>68</v>
      </c>
      <c r="AF84" s="28" t="s">
        <v>68</v>
      </c>
      <c r="AG84" s="28" t="s">
        <v>68</v>
      </c>
      <c r="AH84" s="138" t="s">
        <v>68</v>
      </c>
      <c r="AI84" s="25"/>
      <c r="AJ84" s="25" t="s">
        <v>62</v>
      </c>
      <c r="AK84" s="44">
        <f>AL84-AP84</f>
        <v>-0.38</v>
      </c>
      <c r="AL84" s="33">
        <f t="shared" si="35"/>
        <v>-0.18</v>
      </c>
      <c r="AM84" s="33">
        <f t="shared" si="35"/>
        <v>0.08</v>
      </c>
      <c r="AN84" s="33">
        <f t="shared" si="35"/>
        <v>0.24</v>
      </c>
      <c r="AO84" s="33">
        <f t="shared" si="35"/>
        <v>0.24</v>
      </c>
      <c r="AP84" s="33">
        <f t="shared" si="35"/>
        <v>0.2</v>
      </c>
      <c r="AQ84" s="140">
        <f>AVERAGE(AL84:AP84)</f>
        <v>0.11600000000000002</v>
      </c>
      <c r="AS84" s="25" t="s">
        <v>62</v>
      </c>
      <c r="AT84" s="44">
        <f>AU84-AY84</f>
        <v>2.21</v>
      </c>
      <c r="AU84" s="25">
        <v>3.85</v>
      </c>
      <c r="AV84" s="25">
        <v>2.91</v>
      </c>
      <c r="AW84" s="25">
        <v>2.18</v>
      </c>
      <c r="AX84" s="25">
        <v>1.77</v>
      </c>
      <c r="AY84" s="25">
        <v>1.64</v>
      </c>
      <c r="AZ84" s="140">
        <f>AVERAGE(AU84:AY84)</f>
        <v>2.4699999999999998</v>
      </c>
    </row>
    <row r="85" spans="1:52" ht="12">
      <c r="A85" s="25" t="s">
        <v>89</v>
      </c>
      <c r="I85" s="25" t="s">
        <v>61</v>
      </c>
      <c r="P85" s="47" t="e">
        <f>AVERAGE(K85:O85)</f>
        <v>#DIV/0!</v>
      </c>
      <c r="AA85" s="25" t="s">
        <v>61</v>
      </c>
      <c r="AB85" s="44">
        <f>AC85-AG85</f>
        <v>-0.19</v>
      </c>
      <c r="AC85" s="33">
        <v>-0.09</v>
      </c>
      <c r="AD85" s="33">
        <v>0.04</v>
      </c>
      <c r="AE85" s="33">
        <v>0.13</v>
      </c>
      <c r="AF85" s="33">
        <v>0.12</v>
      </c>
      <c r="AG85" s="33">
        <v>0.1</v>
      </c>
      <c r="AH85" s="140">
        <f>AVERAGE(AC85:AG85)</f>
        <v>0.06000000000000001</v>
      </c>
      <c r="AI85" s="25"/>
      <c r="AJ85" s="25"/>
      <c r="AK85" s="25"/>
      <c r="AL85" s="25"/>
      <c r="AM85" s="25"/>
      <c r="AN85" s="25"/>
      <c r="AO85" s="25"/>
      <c r="AP85" s="25"/>
      <c r="AQ85" s="137"/>
      <c r="AZ85" s="137"/>
    </row>
    <row r="86" spans="1:52" ht="12">
      <c r="A86" s="25" t="s">
        <v>94</v>
      </c>
      <c r="I86" s="25" t="s">
        <v>62</v>
      </c>
      <c r="P86" s="47" t="e">
        <f>AVERAGE(K86:O86)</f>
        <v>#DIV/0!</v>
      </c>
      <c r="Q86" s="22" t="s">
        <v>77</v>
      </c>
      <c r="T86" s="28" t="s">
        <v>71</v>
      </c>
      <c r="U86" s="28" t="s">
        <v>71</v>
      </c>
      <c r="V86" s="28" t="s">
        <v>71</v>
      </c>
      <c r="W86" s="28" t="s">
        <v>71</v>
      </c>
      <c r="X86" s="28" t="s">
        <v>71</v>
      </c>
      <c r="Y86" s="138" t="s">
        <v>71</v>
      </c>
      <c r="AA86" s="25" t="s">
        <v>62</v>
      </c>
      <c r="AB86" s="44">
        <f>AC86-AG86</f>
        <v>-0.19</v>
      </c>
      <c r="AC86" s="33">
        <v>-0.09</v>
      </c>
      <c r="AD86" s="33">
        <v>0.04</v>
      </c>
      <c r="AE86" s="33">
        <v>0.12</v>
      </c>
      <c r="AF86" s="33">
        <v>0.12</v>
      </c>
      <c r="AG86" s="33">
        <v>0.1</v>
      </c>
      <c r="AH86" s="140">
        <f>AVERAGE(AC86:AG86)</f>
        <v>0.05800000000000001</v>
      </c>
      <c r="AI86" s="22" t="s">
        <v>77</v>
      </c>
      <c r="AJ86" s="25"/>
      <c r="AK86" s="25"/>
      <c r="AL86" s="28" t="s">
        <v>71</v>
      </c>
      <c r="AM86" s="28" t="s">
        <v>71</v>
      </c>
      <c r="AN86" s="28" t="s">
        <v>71</v>
      </c>
      <c r="AO86" s="28" t="s">
        <v>71</v>
      </c>
      <c r="AP86" s="28" t="s">
        <v>71</v>
      </c>
      <c r="AQ86" s="138" t="s">
        <v>71</v>
      </c>
      <c r="AR86" s="22" t="s">
        <v>77</v>
      </c>
      <c r="AU86" s="28" t="s">
        <v>71</v>
      </c>
      <c r="AV86" s="28" t="s">
        <v>71</v>
      </c>
      <c r="AW86" s="28" t="s">
        <v>71</v>
      </c>
      <c r="AX86" s="28" t="s">
        <v>71</v>
      </c>
      <c r="AY86" s="28" t="s">
        <v>71</v>
      </c>
      <c r="AZ86" s="138" t="s">
        <v>71</v>
      </c>
    </row>
    <row r="87" spans="1:52" ht="12">
      <c r="A87" s="25" t="s">
        <v>95</v>
      </c>
      <c r="T87" s="28" t="s">
        <v>38</v>
      </c>
      <c r="U87" s="28" t="s">
        <v>38</v>
      </c>
      <c r="V87" s="28" t="s">
        <v>38</v>
      </c>
      <c r="W87" s="28" t="s">
        <v>38</v>
      </c>
      <c r="X87" s="28" t="s">
        <v>38</v>
      </c>
      <c r="Y87" s="138" t="s">
        <v>38</v>
      </c>
      <c r="AH87" s="137"/>
      <c r="AI87" s="25"/>
      <c r="AJ87" s="25"/>
      <c r="AK87" s="25"/>
      <c r="AL87" s="28" t="s">
        <v>38</v>
      </c>
      <c r="AM87" s="28" t="s">
        <v>38</v>
      </c>
      <c r="AN87" s="28" t="s">
        <v>38</v>
      </c>
      <c r="AO87" s="28" t="s">
        <v>38</v>
      </c>
      <c r="AP87" s="28" t="s">
        <v>38</v>
      </c>
      <c r="AQ87" s="143" t="s">
        <v>38</v>
      </c>
      <c r="AU87" s="28" t="s">
        <v>38</v>
      </c>
      <c r="AV87" s="28" t="s">
        <v>38</v>
      </c>
      <c r="AW87" s="28" t="s">
        <v>38</v>
      </c>
      <c r="AX87" s="28" t="s">
        <v>38</v>
      </c>
      <c r="AY87" s="28" t="s">
        <v>38</v>
      </c>
      <c r="AZ87" s="143" t="s">
        <v>38</v>
      </c>
    </row>
    <row r="88" spans="1:52" ht="12">
      <c r="A88" s="25" t="s">
        <v>96</v>
      </c>
      <c r="H88" s="22" t="s">
        <v>77</v>
      </c>
      <c r="K88" s="28" t="s">
        <v>71</v>
      </c>
      <c r="L88" s="28" t="s">
        <v>71</v>
      </c>
      <c r="M88" s="28" t="s">
        <v>71</v>
      </c>
      <c r="N88" s="28" t="s">
        <v>71</v>
      </c>
      <c r="O88" s="28" t="s">
        <v>71</v>
      </c>
      <c r="P88" s="29" t="s">
        <v>71</v>
      </c>
      <c r="Q88" s="25" t="s">
        <v>79</v>
      </c>
      <c r="S88" s="132">
        <f>T88-X88</f>
        <v>62.77000000000001</v>
      </c>
      <c r="T88" s="42">
        <v>223.53</v>
      </c>
      <c r="U88" s="42">
        <v>150.3</v>
      </c>
      <c r="V88" s="42">
        <v>87</v>
      </c>
      <c r="W88" s="42">
        <v>147.54</v>
      </c>
      <c r="X88" s="42">
        <v>160.76</v>
      </c>
      <c r="Y88" s="53">
        <f>AVERAGE(T88:X88)</f>
        <v>153.826</v>
      </c>
      <c r="Z88" s="22" t="s">
        <v>77</v>
      </c>
      <c r="AC88" s="28" t="s">
        <v>71</v>
      </c>
      <c r="AD88" s="28" t="s">
        <v>71</v>
      </c>
      <c r="AE88" s="28" t="s">
        <v>71</v>
      </c>
      <c r="AF88" s="28" t="s">
        <v>71</v>
      </c>
      <c r="AG88" s="28" t="s">
        <v>71</v>
      </c>
      <c r="AH88" s="138" t="s">
        <v>71</v>
      </c>
      <c r="AI88" s="25" t="s">
        <v>79</v>
      </c>
      <c r="AJ88" s="25"/>
      <c r="AK88" s="132">
        <f>AL88-AM88</f>
        <v>178</v>
      </c>
      <c r="AL88" s="42">
        <f aca="true" t="shared" si="36" ref="AL88:AP90">2*AC90</f>
        <v>538</v>
      </c>
      <c r="AM88" s="42">
        <f t="shared" si="36"/>
        <v>360</v>
      </c>
      <c r="AN88" s="42">
        <f t="shared" si="36"/>
        <v>0</v>
      </c>
      <c r="AO88" s="42">
        <f t="shared" si="36"/>
        <v>0</v>
      </c>
      <c r="AP88" s="42">
        <f t="shared" si="36"/>
        <v>0</v>
      </c>
      <c r="AQ88" s="53">
        <f>AVERAGE(AL88:AP88)</f>
        <v>179.6</v>
      </c>
      <c r="AR88" s="25" t="s">
        <v>79</v>
      </c>
      <c r="AT88" s="132">
        <f>AU88-AV88</f>
        <v>950</v>
      </c>
      <c r="AU88" s="42">
        <v>7693</v>
      </c>
      <c r="AV88" s="42">
        <v>6743</v>
      </c>
      <c r="AW88" s="42">
        <v>4817</v>
      </c>
      <c r="AX88" s="42">
        <v>3368</v>
      </c>
      <c r="AY88" s="42"/>
      <c r="AZ88" s="53">
        <f>AVERAGE(AU88:AY88)</f>
        <v>5655.25</v>
      </c>
    </row>
    <row r="89" spans="1:52" ht="12">
      <c r="A89" s="25" t="s">
        <v>101</v>
      </c>
      <c r="K89" s="28" t="s">
        <v>68</v>
      </c>
      <c r="L89" s="28" t="s">
        <v>68</v>
      </c>
      <c r="M89" s="28" t="s">
        <v>68</v>
      </c>
      <c r="N89" s="28" t="s">
        <v>68</v>
      </c>
      <c r="O89" s="28" t="s">
        <v>68</v>
      </c>
      <c r="P89" s="29" t="s">
        <v>68</v>
      </c>
      <c r="Q89" s="25" t="s">
        <v>80</v>
      </c>
      <c r="S89" s="132">
        <f>T89-X89</f>
        <v>24.960000000000008</v>
      </c>
      <c r="T89" s="42">
        <v>-67.57</v>
      </c>
      <c r="U89" s="42">
        <v>-68.33</v>
      </c>
      <c r="V89" s="42">
        <v>-203.06</v>
      </c>
      <c r="W89" s="42">
        <v>-17.66</v>
      </c>
      <c r="X89" s="42">
        <v>-92.53</v>
      </c>
      <c r="Y89" s="53">
        <f>AVERAGE(T89:X89)</f>
        <v>-89.83</v>
      </c>
      <c r="AC89" s="28" t="s">
        <v>68</v>
      </c>
      <c r="AD89" s="28" t="s">
        <v>68</v>
      </c>
      <c r="AE89" s="28" t="s">
        <v>68</v>
      </c>
      <c r="AF89" s="28" t="s">
        <v>68</v>
      </c>
      <c r="AG89" s="28" t="s">
        <v>68</v>
      </c>
      <c r="AH89" s="138" t="s">
        <v>68</v>
      </c>
      <c r="AI89" s="25" t="s">
        <v>80</v>
      </c>
      <c r="AJ89" s="25"/>
      <c r="AK89" s="132">
        <f>AL89-AM89</f>
        <v>336</v>
      </c>
      <c r="AL89" s="42">
        <f t="shared" si="36"/>
        <v>-336</v>
      </c>
      <c r="AM89" s="42">
        <f t="shared" si="36"/>
        <v>-672</v>
      </c>
      <c r="AN89" s="42">
        <f t="shared" si="36"/>
        <v>0</v>
      </c>
      <c r="AO89" s="42">
        <f t="shared" si="36"/>
        <v>0</v>
      </c>
      <c r="AP89" s="42">
        <f t="shared" si="36"/>
        <v>0</v>
      </c>
      <c r="AQ89" s="53">
        <f>AVERAGE(AL89:AP89)</f>
        <v>-201.6</v>
      </c>
      <c r="AR89" s="25" t="s">
        <v>80</v>
      </c>
      <c r="AT89" s="132">
        <f>AU89-AV89</f>
        <v>910</v>
      </c>
      <c r="AU89" s="42">
        <v>-272</v>
      </c>
      <c r="AV89" s="42">
        <v>-1182</v>
      </c>
      <c r="AW89" s="42">
        <v>970</v>
      </c>
      <c r="AX89" s="42">
        <v>-852</v>
      </c>
      <c r="AY89" s="42"/>
      <c r="AZ89" s="53">
        <f>AVERAGE(AU89:AY89)</f>
        <v>-334</v>
      </c>
    </row>
    <row r="90" spans="8:52" ht="12">
      <c r="H90" s="25" t="s">
        <v>79</v>
      </c>
      <c r="J90" s="54"/>
      <c r="K90" s="42"/>
      <c r="L90" s="42"/>
      <c r="M90" s="42"/>
      <c r="N90" s="42"/>
      <c r="O90" s="42"/>
      <c r="P90" s="53" t="e">
        <f>AVERAGE(K90:O90)</f>
        <v>#DIV/0!</v>
      </c>
      <c r="Q90" s="25" t="s">
        <v>75</v>
      </c>
      <c r="S90" s="132">
        <f>T90-X90</f>
        <v>113.02000000000001</v>
      </c>
      <c r="T90" s="42">
        <v>48.32</v>
      </c>
      <c r="U90" s="42">
        <v>60.7</v>
      </c>
      <c r="V90" s="42">
        <v>92</v>
      </c>
      <c r="W90" s="42">
        <v>-54.96</v>
      </c>
      <c r="X90" s="42">
        <v>-64.7</v>
      </c>
      <c r="Y90" s="53">
        <f>AVERAGE(T90:X90)</f>
        <v>16.272</v>
      </c>
      <c r="Z90" s="25" t="s">
        <v>79</v>
      </c>
      <c r="AB90" s="132">
        <f>AC90-AD90</f>
        <v>89</v>
      </c>
      <c r="AC90" s="42">
        <v>269</v>
      </c>
      <c r="AD90" s="42">
        <v>180</v>
      </c>
      <c r="AE90" s="42"/>
      <c r="AF90" s="42"/>
      <c r="AG90" s="42"/>
      <c r="AH90" s="53">
        <f>AVERAGE(AC90:AG90)</f>
        <v>224.5</v>
      </c>
      <c r="AI90" s="25" t="s">
        <v>75</v>
      </c>
      <c r="AJ90" s="25"/>
      <c r="AK90" s="132">
        <f>AL90-AM90</f>
        <v>194</v>
      </c>
      <c r="AL90" s="42">
        <f t="shared" si="36"/>
        <v>36</v>
      </c>
      <c r="AM90" s="42">
        <f t="shared" si="36"/>
        <v>-158</v>
      </c>
      <c r="AN90" s="42">
        <f t="shared" si="36"/>
        <v>0</v>
      </c>
      <c r="AO90" s="42">
        <f t="shared" si="36"/>
        <v>0</v>
      </c>
      <c r="AP90" s="42">
        <f t="shared" si="36"/>
        <v>0</v>
      </c>
      <c r="AQ90" s="53">
        <f>AVERAGE(AL90:AP90)</f>
        <v>-24.4</v>
      </c>
      <c r="AR90" s="25" t="s">
        <v>75</v>
      </c>
      <c r="AT90" s="132">
        <f>AU90-AV90</f>
        <v>-794</v>
      </c>
      <c r="AU90" s="42">
        <v>-5366</v>
      </c>
      <c r="AV90" s="42">
        <v>-4572</v>
      </c>
      <c r="AW90" s="42">
        <v>-2761</v>
      </c>
      <c r="AX90" s="42">
        <v>-2674</v>
      </c>
      <c r="AY90" s="42"/>
      <c r="AZ90" s="53">
        <f>AVERAGE(AU90:AY90)</f>
        <v>-3843.25</v>
      </c>
    </row>
    <row r="91" spans="8:52" ht="12">
      <c r="H91" s="25" t="s">
        <v>80</v>
      </c>
      <c r="J91" s="54"/>
      <c r="K91" s="42"/>
      <c r="L91" s="42"/>
      <c r="M91" s="42"/>
      <c r="N91" s="42"/>
      <c r="O91" s="42"/>
      <c r="P91" s="53" t="e">
        <f>AVERAGE(K91:O91)</f>
        <v>#DIV/0!</v>
      </c>
      <c r="Q91" s="25" t="s">
        <v>64</v>
      </c>
      <c r="S91" s="132">
        <f>T91-X91</f>
        <v>385.6</v>
      </c>
      <c r="T91" s="42">
        <v>434.07</v>
      </c>
      <c r="U91" s="42">
        <v>239.85</v>
      </c>
      <c r="V91" s="42">
        <v>100.08</v>
      </c>
      <c r="W91" s="42">
        <v>126.16</v>
      </c>
      <c r="X91" s="42">
        <v>48.47</v>
      </c>
      <c r="Y91" s="53">
        <f>AVERAGE(T91:X91)</f>
        <v>189.726</v>
      </c>
      <c r="Z91" s="25" t="s">
        <v>80</v>
      </c>
      <c r="AB91" s="132">
        <f>AC91-AD91</f>
        <v>168</v>
      </c>
      <c r="AC91" s="42">
        <v>-168</v>
      </c>
      <c r="AD91" s="42">
        <v>-336</v>
      </c>
      <c r="AE91" s="42"/>
      <c r="AF91" s="42"/>
      <c r="AG91" s="42"/>
      <c r="AH91" s="53">
        <f>AVERAGE(AC91:AG91)</f>
        <v>-252</v>
      </c>
      <c r="AI91" s="25" t="s">
        <v>64</v>
      </c>
      <c r="AJ91" s="25"/>
      <c r="AK91" s="132">
        <f>AL91-AM91</f>
        <v>240</v>
      </c>
      <c r="AL91" s="42">
        <f>2*AC94</f>
        <v>182</v>
      </c>
      <c r="AM91" s="42">
        <f>2*AD94</f>
        <v>-58</v>
      </c>
      <c r="AN91" s="42">
        <f>2*AE94</f>
        <v>0</v>
      </c>
      <c r="AO91" s="42">
        <f>2*AF94</f>
        <v>0</v>
      </c>
      <c r="AP91" s="42">
        <f>2*AG94</f>
        <v>0</v>
      </c>
      <c r="AQ91" s="53">
        <f>AVERAGE(AL91:AP91)</f>
        <v>24.8</v>
      </c>
      <c r="AR91" s="25" t="s">
        <v>64</v>
      </c>
      <c r="AT91" s="132">
        <f>AU91-AV91</f>
        <v>2094</v>
      </c>
      <c r="AU91" s="42">
        <v>6989</v>
      </c>
      <c r="AV91" s="42">
        <v>4895</v>
      </c>
      <c r="AW91" s="42">
        <v>3927</v>
      </c>
      <c r="AX91" s="42">
        <v>872</v>
      </c>
      <c r="AY91" s="42"/>
      <c r="AZ91" s="53">
        <f>AVERAGE(AU91:AY91)</f>
        <v>4170.75</v>
      </c>
    </row>
    <row r="92" spans="8:52" ht="12">
      <c r="H92" s="25" t="s">
        <v>75</v>
      </c>
      <c r="J92" s="54"/>
      <c r="K92" s="42"/>
      <c r="L92" s="42"/>
      <c r="M92" s="42"/>
      <c r="N92" s="42"/>
      <c r="O92" s="42"/>
      <c r="P92" s="53" t="e">
        <f>AVERAGE(K92:O92)</f>
        <v>#DIV/0!</v>
      </c>
      <c r="Z92" s="25" t="s">
        <v>75</v>
      </c>
      <c r="AB92" s="132">
        <f>AC92-AD92</f>
        <v>97</v>
      </c>
      <c r="AC92" s="42">
        <v>18</v>
      </c>
      <c r="AD92" s="42">
        <v>-79</v>
      </c>
      <c r="AE92" s="42"/>
      <c r="AF92" s="42"/>
      <c r="AG92" s="42"/>
      <c r="AH92" s="53">
        <f>AVERAGE(AC92:AG92)</f>
        <v>-30.5</v>
      </c>
      <c r="AI92" s="25"/>
      <c r="AJ92" s="25"/>
      <c r="AK92" s="25"/>
      <c r="AL92" s="25"/>
      <c r="AM92" s="25"/>
      <c r="AN92" s="25"/>
      <c r="AO92" s="25"/>
      <c r="AP92" s="25"/>
      <c r="AQ92" s="137"/>
      <c r="AZ92" s="137"/>
    </row>
    <row r="93" spans="8:52" ht="12">
      <c r="H93" s="25" t="s">
        <v>63</v>
      </c>
      <c r="J93" s="54"/>
      <c r="K93" s="42"/>
      <c r="L93" s="42"/>
      <c r="M93" s="42"/>
      <c r="N93" s="42"/>
      <c r="O93" s="42"/>
      <c r="P93" s="53" t="e">
        <f>AVERAGE(K93:O93)</f>
        <v>#DIV/0!</v>
      </c>
      <c r="Q93" s="139" t="s">
        <v>282</v>
      </c>
      <c r="R93" s="133"/>
      <c r="S93" s="133"/>
      <c r="T93" s="28" t="s">
        <v>71</v>
      </c>
      <c r="U93" s="28" t="s">
        <v>71</v>
      </c>
      <c r="V93" s="28" t="s">
        <v>71</v>
      </c>
      <c r="W93" s="28" t="s">
        <v>71</v>
      </c>
      <c r="X93" s="28" t="s">
        <v>71</v>
      </c>
      <c r="Y93" s="138" t="s">
        <v>71</v>
      </c>
      <c r="Z93" s="25" t="s">
        <v>63</v>
      </c>
      <c r="AB93" s="132">
        <f>AC93-AD93</f>
        <v>-236</v>
      </c>
      <c r="AC93" s="42">
        <v>-29</v>
      </c>
      <c r="AD93" s="42">
        <v>207</v>
      </c>
      <c r="AE93" s="42"/>
      <c r="AF93" s="42"/>
      <c r="AG93" s="42"/>
      <c r="AH93" s="53">
        <f>AVERAGE(AC93:AG93)</f>
        <v>89</v>
      </c>
      <c r="AI93" s="139" t="s">
        <v>282</v>
      </c>
      <c r="AL93" s="28" t="s">
        <v>71</v>
      </c>
      <c r="AM93" s="28" t="s">
        <v>71</v>
      </c>
      <c r="AN93" s="28" t="s">
        <v>71</v>
      </c>
      <c r="AO93" s="28" t="s">
        <v>71</v>
      </c>
      <c r="AP93" s="28" t="s">
        <v>71</v>
      </c>
      <c r="AQ93" s="138" t="s">
        <v>71</v>
      </c>
      <c r="AR93" s="139" t="s">
        <v>282</v>
      </c>
      <c r="AS93" s="133"/>
      <c r="AT93" s="133"/>
      <c r="AU93" s="28" t="s">
        <v>71</v>
      </c>
      <c r="AV93" s="28" t="s">
        <v>71</v>
      </c>
      <c r="AW93" s="28" t="s">
        <v>71</v>
      </c>
      <c r="AX93" s="28" t="s">
        <v>71</v>
      </c>
      <c r="AY93" s="28" t="s">
        <v>71</v>
      </c>
      <c r="AZ93" s="138" t="s">
        <v>71</v>
      </c>
    </row>
    <row r="94" spans="8:52" ht="12">
      <c r="H94" s="25" t="s">
        <v>64</v>
      </c>
      <c r="J94" s="54"/>
      <c r="K94" s="42"/>
      <c r="L94" s="42"/>
      <c r="M94" s="42"/>
      <c r="N94" s="42"/>
      <c r="O94" s="42"/>
      <c r="P94" s="53" t="e">
        <f>AVERAGE(K94:O94)</f>
        <v>#DIV/0!</v>
      </c>
      <c r="Q94" s="133"/>
      <c r="R94" s="133"/>
      <c r="S94" s="133"/>
      <c r="T94" s="28" t="s">
        <v>38</v>
      </c>
      <c r="U94" s="28" t="s">
        <v>38</v>
      </c>
      <c r="V94" s="28" t="s">
        <v>38</v>
      </c>
      <c r="W94" s="28" t="s">
        <v>38</v>
      </c>
      <c r="X94" s="28" t="s">
        <v>38</v>
      </c>
      <c r="Y94" s="143" t="s">
        <v>38</v>
      </c>
      <c r="Z94" s="25" t="s">
        <v>64</v>
      </c>
      <c r="AB94" s="132">
        <f>AC94-AD94</f>
        <v>120</v>
      </c>
      <c r="AC94" s="42">
        <v>91</v>
      </c>
      <c r="AD94" s="42">
        <v>-29</v>
      </c>
      <c r="AE94" s="42"/>
      <c r="AF94" s="42"/>
      <c r="AG94" s="42"/>
      <c r="AH94" s="53">
        <f>AVERAGE(AC94:AG94)</f>
        <v>31</v>
      </c>
      <c r="AL94" s="28" t="s">
        <v>38</v>
      </c>
      <c r="AM94" s="28" t="s">
        <v>38</v>
      </c>
      <c r="AN94" s="28" t="s">
        <v>38</v>
      </c>
      <c r="AO94" s="28" t="s">
        <v>38</v>
      </c>
      <c r="AP94" s="28" t="s">
        <v>38</v>
      </c>
      <c r="AQ94" s="143" t="s">
        <v>38</v>
      </c>
      <c r="AR94" s="133"/>
      <c r="AS94" s="133"/>
      <c r="AT94" s="133"/>
      <c r="AU94" s="28" t="s">
        <v>38</v>
      </c>
      <c r="AV94" s="28" t="s">
        <v>38</v>
      </c>
      <c r="AW94" s="28" t="s">
        <v>38</v>
      </c>
      <c r="AX94" s="28" t="s">
        <v>38</v>
      </c>
      <c r="AY94" s="28" t="s">
        <v>38</v>
      </c>
      <c r="AZ94" s="143" t="s">
        <v>38</v>
      </c>
    </row>
    <row r="95" spans="17:52" ht="12">
      <c r="Q95" s="25" t="s">
        <v>283</v>
      </c>
      <c r="R95" s="22"/>
      <c r="S95" s="132">
        <f>T95-X95</f>
        <v>164</v>
      </c>
      <c r="T95" s="25">
        <v>555</v>
      </c>
      <c r="U95" s="25">
        <v>548</v>
      </c>
      <c r="V95" s="25">
        <v>548</v>
      </c>
      <c r="W95" s="25">
        <v>396</v>
      </c>
      <c r="X95" s="25">
        <v>391</v>
      </c>
      <c r="Y95" s="53">
        <f>AVERAGE(T95:X95)</f>
        <v>487.6</v>
      </c>
      <c r="AH95" s="137"/>
      <c r="AI95" s="25" t="s">
        <v>283</v>
      </c>
      <c r="AJ95" s="22"/>
      <c r="AK95" s="132">
        <f>AL95-AP95</f>
        <v>0</v>
      </c>
      <c r="AL95" s="42">
        <v>0</v>
      </c>
      <c r="AM95" s="42">
        <v>206</v>
      </c>
      <c r="AN95" s="42"/>
      <c r="AO95" s="42"/>
      <c r="AP95" s="42"/>
      <c r="AQ95" s="42">
        <f>AVERAGE(AL95:AP95)</f>
        <v>103</v>
      </c>
      <c r="AR95" s="25" t="s">
        <v>283</v>
      </c>
      <c r="AS95" s="22"/>
      <c r="AT95" s="132">
        <f>AU95-AY95</f>
        <v>1397</v>
      </c>
      <c r="AU95" s="42">
        <v>4204</v>
      </c>
      <c r="AV95" s="42">
        <v>2712</v>
      </c>
      <c r="AW95" s="42">
        <v>3050</v>
      </c>
      <c r="AX95" s="42">
        <v>3027</v>
      </c>
      <c r="AY95" s="42">
        <v>2807</v>
      </c>
      <c r="AZ95" s="53">
        <f>AVERAGE(AU95:AY95)</f>
        <v>3160</v>
      </c>
    </row>
    <row r="96" spans="11:52" ht="12">
      <c r="K96" s="28" t="s">
        <v>71</v>
      </c>
      <c r="L96" s="28" t="s">
        <v>71</v>
      </c>
      <c r="M96" s="28" t="s">
        <v>71</v>
      </c>
      <c r="N96" s="28" t="s">
        <v>71</v>
      </c>
      <c r="O96" s="28" t="s">
        <v>71</v>
      </c>
      <c r="P96" s="29" t="s">
        <v>71</v>
      </c>
      <c r="Q96" s="133" t="s">
        <v>284</v>
      </c>
      <c r="R96" s="133"/>
      <c r="S96" s="132">
        <f>T96-X96</f>
        <v>21</v>
      </c>
      <c r="T96" s="133">
        <v>171</v>
      </c>
      <c r="U96" s="133">
        <v>155</v>
      </c>
      <c r="V96" s="133">
        <v>151</v>
      </c>
      <c r="W96" s="133">
        <v>142</v>
      </c>
      <c r="X96" s="133">
        <v>150</v>
      </c>
      <c r="Y96" s="53">
        <f>AVERAGE(T96:X96)</f>
        <v>153.8</v>
      </c>
      <c r="AC96" s="28" t="s">
        <v>71</v>
      </c>
      <c r="AD96" s="28" t="s">
        <v>71</v>
      </c>
      <c r="AE96" s="28" t="s">
        <v>71</v>
      </c>
      <c r="AF96" s="28" t="s">
        <v>71</v>
      </c>
      <c r="AG96" s="28" t="s">
        <v>71</v>
      </c>
      <c r="AH96" s="138" t="s">
        <v>71</v>
      </c>
      <c r="AI96" s="133" t="s">
        <v>284</v>
      </c>
      <c r="AK96" s="132">
        <f>AL96-AO96</f>
        <v>892</v>
      </c>
      <c r="AL96" s="42">
        <v>4110</v>
      </c>
      <c r="AM96" s="42">
        <v>3813</v>
      </c>
      <c r="AN96" s="42">
        <v>3478</v>
      </c>
      <c r="AO96" s="42">
        <v>3218</v>
      </c>
      <c r="AP96" s="42"/>
      <c r="AQ96" s="42">
        <f>AVERAGE(AL96:AP96)</f>
        <v>3654.75</v>
      </c>
      <c r="AR96" s="133" t="s">
        <v>284</v>
      </c>
      <c r="AS96" s="133"/>
      <c r="AT96" s="132">
        <f>AU96-AY96</f>
        <v>856</v>
      </c>
      <c r="AU96" s="42">
        <v>7453</v>
      </c>
      <c r="AV96" s="42">
        <v>6985</v>
      </c>
      <c r="AW96" s="42">
        <v>8097</v>
      </c>
      <c r="AX96" s="42">
        <v>7547</v>
      </c>
      <c r="AY96" s="42">
        <v>6597</v>
      </c>
      <c r="AZ96" s="53">
        <f>AVERAGE(AU96:AY96)</f>
        <v>7335.8</v>
      </c>
    </row>
    <row r="97" spans="8:52" ht="12">
      <c r="H97" s="22"/>
      <c r="I97" s="22"/>
      <c r="J97" s="22"/>
      <c r="K97" s="28" t="s">
        <v>68</v>
      </c>
      <c r="L97" s="28" t="s">
        <v>68</v>
      </c>
      <c r="M97" s="28" t="s">
        <v>68</v>
      </c>
      <c r="N97" s="28" t="s">
        <v>68</v>
      </c>
      <c r="O97" s="28" t="s">
        <v>68</v>
      </c>
      <c r="P97" s="29" t="s">
        <v>68</v>
      </c>
      <c r="R97" s="22"/>
      <c r="S97" s="132"/>
      <c r="Y97" s="53"/>
      <c r="Z97" s="22"/>
      <c r="AA97" s="22"/>
      <c r="AB97" s="22"/>
      <c r="AC97" s="28" t="s">
        <v>68</v>
      </c>
      <c r="AD97" s="28" t="s">
        <v>68</v>
      </c>
      <c r="AE97" s="28" t="s">
        <v>68</v>
      </c>
      <c r="AF97" s="28" t="s">
        <v>68</v>
      </c>
      <c r="AG97" s="28" t="s">
        <v>68</v>
      </c>
      <c r="AH97" s="138" t="s">
        <v>68</v>
      </c>
      <c r="AI97" s="25"/>
      <c r="AJ97" s="22"/>
      <c r="AK97" s="132"/>
      <c r="AL97" s="25"/>
      <c r="AM97" s="25"/>
      <c r="AN97" s="25"/>
      <c r="AO97" s="25"/>
      <c r="AP97" s="25"/>
      <c r="AQ97" s="53"/>
      <c r="AS97" s="22"/>
      <c r="AT97" s="132"/>
      <c r="AU97" s="42"/>
      <c r="AV97" s="42"/>
      <c r="AW97" s="42"/>
      <c r="AX97" s="42"/>
      <c r="AY97" s="42"/>
      <c r="AZ97" s="53"/>
    </row>
    <row r="98" spans="8:34" ht="12">
      <c r="H98" s="22" t="s">
        <v>102</v>
      </c>
      <c r="K98" s="42">
        <f>K70-K71</f>
        <v>0</v>
      </c>
      <c r="L98" s="42">
        <f>L70-L71</f>
        <v>0</v>
      </c>
      <c r="M98" s="42">
        <f>M70-M71</f>
        <v>0</v>
      </c>
      <c r="N98" s="42">
        <f>N70-N71</f>
        <v>0</v>
      </c>
      <c r="O98" s="42">
        <f>O70-O71</f>
        <v>0</v>
      </c>
      <c r="P98" s="43">
        <f>AVERAGE(K98:O98)</f>
        <v>0</v>
      </c>
      <c r="Z98" s="22" t="s">
        <v>102</v>
      </c>
      <c r="AB98" s="132">
        <f>AC98-AG98</f>
        <v>4343</v>
      </c>
      <c r="AC98" s="42">
        <f>AC70-AC71</f>
        <v>5508</v>
      </c>
      <c r="AD98" s="42">
        <f>AD70-AD71</f>
        <v>5406</v>
      </c>
      <c r="AE98" s="42">
        <f>AE70-AE71</f>
        <v>1909</v>
      </c>
      <c r="AF98" s="42">
        <f>AF70-AF71</f>
        <v>1686</v>
      </c>
      <c r="AG98" s="42">
        <f>AG70-AG71</f>
        <v>1165</v>
      </c>
      <c r="AH98" s="53">
        <f>AVERAGE(AC98:AG98)</f>
        <v>3134.8</v>
      </c>
    </row>
    <row r="99" spans="8:34" ht="12">
      <c r="H99" s="22" t="s">
        <v>103</v>
      </c>
      <c r="K99" s="42">
        <f>K75-K76</f>
        <v>0</v>
      </c>
      <c r="L99" s="42">
        <f>L75-L76</f>
        <v>0</v>
      </c>
      <c r="M99" s="42">
        <f>M75-M76</f>
        <v>0</v>
      </c>
      <c r="N99" s="42">
        <f>N75-N76</f>
        <v>0</v>
      </c>
      <c r="O99" s="42">
        <f>O75-O76</f>
        <v>0</v>
      </c>
      <c r="P99" s="43">
        <f>AVERAGE(K99:O99)</f>
        <v>0</v>
      </c>
      <c r="Z99" s="22" t="s">
        <v>104</v>
      </c>
      <c r="AB99" s="132">
        <f>AC99-AG99</f>
        <v>3822.7999999999993</v>
      </c>
      <c r="AC99" s="42">
        <f>AC75-AC98</f>
        <v>6606.799999999999</v>
      </c>
      <c r="AD99" s="42">
        <f>AD75-AD98</f>
        <v>6698</v>
      </c>
      <c r="AE99" s="42">
        <f>AE75-AE98</f>
        <v>3050</v>
      </c>
      <c r="AF99" s="42">
        <f>AF75-AF98</f>
        <v>2617</v>
      </c>
      <c r="AG99" s="42">
        <f>AG75-AG98</f>
        <v>2784</v>
      </c>
      <c r="AH99" s="53">
        <f>AVERAGE(AC99:AG99)</f>
        <v>4351.16</v>
      </c>
    </row>
    <row r="100" spans="8:52" ht="12">
      <c r="H100" s="22" t="s">
        <v>104</v>
      </c>
      <c r="K100" s="42">
        <f>K75-K98</f>
        <v>0</v>
      </c>
      <c r="L100" s="42">
        <f>L75-L98</f>
        <v>0</v>
      </c>
      <c r="M100" s="42">
        <f>M75-M98</f>
        <v>0</v>
      </c>
      <c r="N100" s="42">
        <f>N75-N98</f>
        <v>0</v>
      </c>
      <c r="O100" s="42">
        <f>O75-O98</f>
        <v>0</v>
      </c>
      <c r="P100" s="43">
        <f>AVERAGE(K100:O100)</f>
        <v>0</v>
      </c>
      <c r="T100" s="28" t="s">
        <v>71</v>
      </c>
      <c r="U100" s="28" t="s">
        <v>71</v>
      </c>
      <c r="V100" s="28" t="s">
        <v>71</v>
      </c>
      <c r="W100" s="28" t="s">
        <v>71</v>
      </c>
      <c r="X100" s="28" t="s">
        <v>71</v>
      </c>
      <c r="Y100" s="138" t="s">
        <v>71</v>
      </c>
      <c r="Z100" s="22"/>
      <c r="AC100" s="33"/>
      <c r="AD100" s="33"/>
      <c r="AE100" s="33"/>
      <c r="AF100" s="33"/>
      <c r="AG100" s="33"/>
      <c r="AH100" s="140"/>
      <c r="AI100" s="25"/>
      <c r="AJ100" s="25"/>
      <c r="AK100" s="25"/>
      <c r="AL100" s="28" t="s">
        <v>71</v>
      </c>
      <c r="AM100" s="28" t="s">
        <v>71</v>
      </c>
      <c r="AN100" s="28" t="s">
        <v>71</v>
      </c>
      <c r="AO100" s="28" t="s">
        <v>71</v>
      </c>
      <c r="AP100" s="28" t="s">
        <v>71</v>
      </c>
      <c r="AQ100" s="138" t="s">
        <v>71</v>
      </c>
      <c r="AU100" s="28" t="s">
        <v>71</v>
      </c>
      <c r="AV100" s="28" t="s">
        <v>71</v>
      </c>
      <c r="AW100" s="28" t="s">
        <v>71</v>
      </c>
      <c r="AX100" s="28" t="s">
        <v>71</v>
      </c>
      <c r="AY100" s="28" t="s">
        <v>71</v>
      </c>
      <c r="AZ100" s="138" t="s">
        <v>71</v>
      </c>
    </row>
    <row r="101" spans="8:52" ht="12">
      <c r="H101" s="22"/>
      <c r="K101" s="33"/>
      <c r="L101" s="33"/>
      <c r="M101" s="33"/>
      <c r="N101" s="33"/>
      <c r="O101" s="33"/>
      <c r="P101" s="47"/>
      <c r="Q101" s="22"/>
      <c r="R101" s="22"/>
      <c r="S101" s="22"/>
      <c r="T101" s="28" t="s">
        <v>38</v>
      </c>
      <c r="U101" s="28" t="s">
        <v>38</v>
      </c>
      <c r="V101" s="28" t="s">
        <v>38</v>
      </c>
      <c r="W101" s="28" t="s">
        <v>38</v>
      </c>
      <c r="X101" s="28" t="s">
        <v>38</v>
      </c>
      <c r="Y101" s="138" t="s">
        <v>38</v>
      </c>
      <c r="Z101" s="22"/>
      <c r="AC101" s="48" t="s">
        <v>105</v>
      </c>
      <c r="AD101" s="48" t="s">
        <v>105</v>
      </c>
      <c r="AE101" s="48" t="s">
        <v>105</v>
      </c>
      <c r="AF101" s="48" t="s">
        <v>105</v>
      </c>
      <c r="AG101" s="48" t="s">
        <v>105</v>
      </c>
      <c r="AH101" s="141" t="s">
        <v>105</v>
      </c>
      <c r="AI101" s="22"/>
      <c r="AJ101" s="22"/>
      <c r="AK101" s="22"/>
      <c r="AL101" s="28" t="s">
        <v>38</v>
      </c>
      <c r="AM101" s="28" t="s">
        <v>38</v>
      </c>
      <c r="AN101" s="28" t="s">
        <v>38</v>
      </c>
      <c r="AO101" s="28" t="s">
        <v>38</v>
      </c>
      <c r="AP101" s="28" t="s">
        <v>38</v>
      </c>
      <c r="AQ101" s="143" t="s">
        <v>38</v>
      </c>
      <c r="AR101" s="22"/>
      <c r="AS101" s="22"/>
      <c r="AT101" s="22"/>
      <c r="AU101" s="28" t="s">
        <v>38</v>
      </c>
      <c r="AV101" s="28" t="s">
        <v>38</v>
      </c>
      <c r="AW101" s="28" t="s">
        <v>38</v>
      </c>
      <c r="AX101" s="28" t="s">
        <v>38</v>
      </c>
      <c r="AY101" s="28" t="s">
        <v>38</v>
      </c>
      <c r="AZ101" s="143" t="s">
        <v>38</v>
      </c>
    </row>
    <row r="102" spans="8:52" ht="12">
      <c r="H102" s="22"/>
      <c r="K102" s="48" t="s">
        <v>105</v>
      </c>
      <c r="L102" s="48" t="s">
        <v>105</v>
      </c>
      <c r="M102" s="48" t="s">
        <v>105</v>
      </c>
      <c r="N102" s="48" t="s">
        <v>105</v>
      </c>
      <c r="O102" s="48" t="s">
        <v>105</v>
      </c>
      <c r="P102" s="49" t="s">
        <v>105</v>
      </c>
      <c r="Q102" s="22" t="s">
        <v>102</v>
      </c>
      <c r="S102" s="132">
        <f>T102-X102</f>
        <v>1745.2000000000003</v>
      </c>
      <c r="T102" s="42">
        <f>T70-T71</f>
        <v>2678.76</v>
      </c>
      <c r="U102" s="42">
        <f>U70-U71</f>
        <v>2478.3300000000004</v>
      </c>
      <c r="V102" s="42">
        <f>V70-V71</f>
        <v>2221.6000000000004</v>
      </c>
      <c r="W102" s="42">
        <f>W70-W71</f>
        <v>1618.5900000000001</v>
      </c>
      <c r="X102" s="42">
        <f>X70-X71</f>
        <v>933.5600000000001</v>
      </c>
      <c r="Y102" s="53">
        <f>AVERAGE(T102:X102)</f>
        <v>1986.1680000000001</v>
      </c>
      <c r="Z102" s="22" t="s">
        <v>53</v>
      </c>
      <c r="AB102" s="44">
        <f aca="true" t="shared" si="37" ref="AB102:AB108">AC102-AG102</f>
        <v>11.818237070698572</v>
      </c>
      <c r="AC102" s="51">
        <f>(AC72/AC98)*100</f>
        <v>68.89978213507625</v>
      </c>
      <c r="AD102" s="51">
        <f>(AD72/AD98)*100</f>
        <v>68.33148353681095</v>
      </c>
      <c r="AE102" s="51">
        <f>(AE72/AE98)*100</f>
        <v>19.59140911471975</v>
      </c>
      <c r="AF102" s="51">
        <f>(AF72/AF98)*100</f>
        <v>21.11506524317912</v>
      </c>
      <c r="AG102" s="51">
        <f>(AG72/AG98)*100</f>
        <v>57.08154506437768</v>
      </c>
      <c r="AH102" s="140">
        <f aca="true" t="shared" si="38" ref="AH102:AH108">AVERAGE(AC102:AG102)</f>
        <v>47.00385701883275</v>
      </c>
      <c r="AI102" s="22" t="s">
        <v>102</v>
      </c>
      <c r="AJ102" s="25"/>
      <c r="AK102" s="132">
        <f>AL102-AP102</f>
        <v>8686</v>
      </c>
      <c r="AL102" s="42">
        <f>AL70-AL71</f>
        <v>11016</v>
      </c>
      <c r="AM102" s="42">
        <f>AM70-AM71</f>
        <v>10812</v>
      </c>
      <c r="AN102" s="42">
        <f>AN70-AN71</f>
        <v>3818</v>
      </c>
      <c r="AO102" s="42">
        <f>AO70-AO71</f>
        <v>3372</v>
      </c>
      <c r="AP102" s="42">
        <f>AP70-AP71</f>
        <v>2330</v>
      </c>
      <c r="AQ102" s="53">
        <f>AVERAGE(AL102:AP102)</f>
        <v>6269.6</v>
      </c>
      <c r="AR102" s="22" t="s">
        <v>102</v>
      </c>
      <c r="AT102" s="132">
        <f>AU102-AY102</f>
        <v>7124</v>
      </c>
      <c r="AU102" s="42">
        <f>AU70-AU71</f>
        <v>20485</v>
      </c>
      <c r="AV102" s="42">
        <f>AV70-AV71</f>
        <v>18001</v>
      </c>
      <c r="AW102" s="42">
        <f>AW70-AW71</f>
        <v>19065</v>
      </c>
      <c r="AX102" s="42">
        <f>AX70-AX71</f>
        <v>17003</v>
      </c>
      <c r="AY102" s="42">
        <f>AY70-AY71</f>
        <v>13361</v>
      </c>
      <c r="AZ102" s="53">
        <f>AVERAGE(AU102:AY102)</f>
        <v>17583</v>
      </c>
    </row>
    <row r="103" spans="8:52" ht="12">
      <c r="H103" s="22" t="s">
        <v>53</v>
      </c>
      <c r="K103" s="51" t="e">
        <f>(K72/K98)*100</f>
        <v>#DIV/0!</v>
      </c>
      <c r="L103" s="51" t="e">
        <f>(L72/L98)*100</f>
        <v>#DIV/0!</v>
      </c>
      <c r="M103" s="51" t="e">
        <f>(M72/M98)*100</f>
        <v>#DIV/0!</v>
      </c>
      <c r="N103" s="51" t="e">
        <f>(N72/N98)*100</f>
        <v>#DIV/0!</v>
      </c>
      <c r="O103" s="51" t="e">
        <f>(O72/O98)*100</f>
        <v>#DIV/0!</v>
      </c>
      <c r="P103" s="47" t="e">
        <f aca="true" t="shared" si="39" ref="P103:P109">AVERAGE(K103:O103)</f>
        <v>#DIV/0!</v>
      </c>
      <c r="Q103" s="22" t="s">
        <v>104</v>
      </c>
      <c r="S103" s="44">
        <f>T103-X103</f>
        <v>-2.109466742569416</v>
      </c>
      <c r="T103" s="33">
        <f>T75/T102</f>
        <v>2.7704124296316204</v>
      </c>
      <c r="U103" s="33">
        <f>U75/U102</f>
        <v>2.2737085053241493</v>
      </c>
      <c r="V103" s="33">
        <f>V75/V102</f>
        <v>2.0679870363701833</v>
      </c>
      <c r="W103" s="33">
        <f>W75/W102</f>
        <v>2.851617766080354</v>
      </c>
      <c r="X103" s="33">
        <f>X75/X102</f>
        <v>4.879879172201036</v>
      </c>
      <c r="Y103" s="140">
        <f>AVERAGE(T103:X103)</f>
        <v>2.968720981921469</v>
      </c>
      <c r="Z103" s="22" t="s">
        <v>54</v>
      </c>
      <c r="AB103" s="44">
        <f t="shared" si="37"/>
        <v>76.51630769230768</v>
      </c>
      <c r="AC103" s="51">
        <f>AC77/AC78</f>
        <v>1.8239999999999903</v>
      </c>
      <c r="AD103" s="51">
        <f>AD77/AD78</f>
        <v>31.054639175257723</v>
      </c>
      <c r="AE103" s="51">
        <f>AE77/AE78</f>
        <v>-90.21428571428571</v>
      </c>
      <c r="AF103" s="51">
        <f>AF77/AF78</f>
        <v>-85.15384615384616</v>
      </c>
      <c r="AG103" s="51">
        <f>AG77/AG78</f>
        <v>-74.6923076923077</v>
      </c>
      <c r="AH103" s="140">
        <f t="shared" si="38"/>
        <v>-43.436360077036376</v>
      </c>
      <c r="AI103" s="22" t="s">
        <v>104</v>
      </c>
      <c r="AJ103" s="25"/>
      <c r="AK103" s="44">
        <f>AL103-AP103</f>
        <v>-1.1902079223041944</v>
      </c>
      <c r="AL103" s="33">
        <f>AL75/AL102</f>
        <v>2.1994916485112563</v>
      </c>
      <c r="AM103" s="33">
        <f>AM75/AM102</f>
        <v>2.238993710691824</v>
      </c>
      <c r="AN103" s="33">
        <f>AN75/AN102</f>
        <v>2.5976951283394447</v>
      </c>
      <c r="AO103" s="33">
        <f>AO75/AO102</f>
        <v>2.552194543297746</v>
      </c>
      <c r="AP103" s="33">
        <f>AP75/AP102</f>
        <v>3.3896995708154507</v>
      </c>
      <c r="AQ103" s="140">
        <f>AVERAGE(AL103:AP103)</f>
        <v>2.595614920331144</v>
      </c>
      <c r="AR103" s="22" t="s">
        <v>104</v>
      </c>
      <c r="AT103" s="44">
        <f>AU103-AY103</f>
        <v>-0.04289516387983583</v>
      </c>
      <c r="AU103" s="33">
        <f>AU75/AU102</f>
        <v>1.2924090798144985</v>
      </c>
      <c r="AV103" s="33">
        <f>AV75/AV102</f>
        <v>1.330481639908894</v>
      </c>
      <c r="AW103" s="33">
        <f>AW75/AW102</f>
        <v>1.1238394964594807</v>
      </c>
      <c r="AX103" s="33">
        <f>AX75/AX102</f>
        <v>1.1085690760454037</v>
      </c>
      <c r="AY103" s="33">
        <f>AY75/AY102</f>
        <v>1.3353042436943343</v>
      </c>
      <c r="AZ103" s="140">
        <f>AVERAGE(AU103:AY103)</f>
        <v>1.2381207071845222</v>
      </c>
    </row>
    <row r="104" spans="8:52" ht="12">
      <c r="H104" s="22" t="s">
        <v>54</v>
      </c>
      <c r="K104" s="51" t="e">
        <f>K77/-K78</f>
        <v>#DIV/0!</v>
      </c>
      <c r="L104" s="51" t="e">
        <f>L77/-L78</f>
        <v>#DIV/0!</v>
      </c>
      <c r="M104" s="51" t="e">
        <f>M77/-M78</f>
        <v>#DIV/0!</v>
      </c>
      <c r="N104" s="51" t="e">
        <f>N77/-N78</f>
        <v>#DIV/0!</v>
      </c>
      <c r="O104" s="51" t="e">
        <f>O77/-O78</f>
        <v>#DIV/0!</v>
      </c>
      <c r="P104" s="47" t="e">
        <f t="shared" si="39"/>
        <v>#DIV/0!</v>
      </c>
      <c r="Q104" s="22"/>
      <c r="T104" s="33"/>
      <c r="U104" s="33"/>
      <c r="V104" s="33"/>
      <c r="W104" s="33"/>
      <c r="X104" s="33"/>
      <c r="Y104" s="140"/>
      <c r="Z104" s="22" t="s">
        <v>97</v>
      </c>
      <c r="AB104" s="44">
        <f t="shared" si="37"/>
        <v>-20.894804345839148</v>
      </c>
      <c r="AC104" s="51">
        <f>(AC80/AC73)*100</f>
        <v>-6.854949273375377</v>
      </c>
      <c r="AD104" s="51">
        <f>(AD80/AD73)*100</f>
        <v>2.621068397403894</v>
      </c>
      <c r="AE104" s="51">
        <f>(AE80/AE73)*100</f>
        <v>15.045592705167174</v>
      </c>
      <c r="AF104" s="51">
        <f>(AF80/AF73)*100</f>
        <v>15.146579804560261</v>
      </c>
      <c r="AG104" s="51">
        <f>(AG80/AG73)*100</f>
        <v>14.03985507246377</v>
      </c>
      <c r="AH104" s="140">
        <f t="shared" si="38"/>
        <v>7.999629341243944</v>
      </c>
      <c r="AI104" s="22"/>
      <c r="AJ104" s="25"/>
      <c r="AK104" s="25"/>
      <c r="AL104" s="33"/>
      <c r="AM104" s="33"/>
      <c r="AN104" s="33"/>
      <c r="AO104" s="33"/>
      <c r="AP104" s="33"/>
      <c r="AQ104" s="140"/>
      <c r="AR104" s="22"/>
      <c r="AU104" s="33"/>
      <c r="AV104" s="33"/>
      <c r="AW104" s="33"/>
      <c r="AX104" s="33"/>
      <c r="AY104" s="33"/>
      <c r="AZ104" s="140"/>
    </row>
    <row r="105" spans="8:52" ht="12">
      <c r="H105" s="22" t="s">
        <v>97</v>
      </c>
      <c r="K105" s="51" t="e">
        <f>(K80/K73)*100</f>
        <v>#DIV/0!</v>
      </c>
      <c r="L105" s="51" t="e">
        <f>(L80/L73)*100</f>
        <v>#DIV/0!</v>
      </c>
      <c r="M105" s="51" t="e">
        <f>(M80/M73)*100</f>
        <v>#DIV/0!</v>
      </c>
      <c r="N105" s="51" t="e">
        <f>(N80/N73)*100</f>
        <v>#DIV/0!</v>
      </c>
      <c r="O105" s="51" t="e">
        <f>(O80/O73)*100</f>
        <v>#DIV/0!</v>
      </c>
      <c r="P105" s="47" t="e">
        <f t="shared" si="39"/>
        <v>#DIV/0!</v>
      </c>
      <c r="Q105" s="22"/>
      <c r="T105" s="48" t="s">
        <v>105</v>
      </c>
      <c r="U105" s="48" t="s">
        <v>105</v>
      </c>
      <c r="V105" s="48" t="s">
        <v>105</v>
      </c>
      <c r="W105" s="48" t="s">
        <v>105</v>
      </c>
      <c r="X105" s="48" t="s">
        <v>105</v>
      </c>
      <c r="Y105" s="141" t="s">
        <v>105</v>
      </c>
      <c r="Z105" s="22" t="s">
        <v>86</v>
      </c>
      <c r="AB105" s="44">
        <f t="shared" si="37"/>
        <v>-23.459306073191275</v>
      </c>
      <c r="AC105" s="51">
        <f>(AC77/AC75)*100</f>
        <v>1.1291973453957085</v>
      </c>
      <c r="AD105" s="51">
        <f>(AD77/AD75)*100</f>
        <v>24.8868142762723</v>
      </c>
      <c r="AE105" s="51">
        <f>(AE77/AE75)*100</f>
        <v>25.468844525105865</v>
      </c>
      <c r="AF105" s="51">
        <f>(AF77/AF75)*100</f>
        <v>25.72623750871485</v>
      </c>
      <c r="AG105" s="51">
        <f>(AG77/AG75)*100</f>
        <v>24.588503418586985</v>
      </c>
      <c r="AH105" s="140">
        <f t="shared" si="38"/>
        <v>20.359919414815142</v>
      </c>
      <c r="AI105" s="22"/>
      <c r="AJ105" s="25"/>
      <c r="AK105" s="25"/>
      <c r="AL105" s="48" t="s">
        <v>105</v>
      </c>
      <c r="AM105" s="48" t="s">
        <v>105</v>
      </c>
      <c r="AN105" s="48" t="s">
        <v>105</v>
      </c>
      <c r="AO105" s="48" t="s">
        <v>105</v>
      </c>
      <c r="AP105" s="48" t="s">
        <v>105</v>
      </c>
      <c r="AQ105" s="141" t="s">
        <v>105</v>
      </c>
      <c r="AR105" s="22"/>
      <c r="AU105" s="48" t="s">
        <v>105</v>
      </c>
      <c r="AV105" s="48" t="s">
        <v>105</v>
      </c>
      <c r="AW105" s="48" t="s">
        <v>105</v>
      </c>
      <c r="AX105" s="48" t="s">
        <v>105</v>
      </c>
      <c r="AY105" s="48" t="s">
        <v>105</v>
      </c>
      <c r="AZ105" s="141" t="s">
        <v>105</v>
      </c>
    </row>
    <row r="106" spans="8:52" ht="12">
      <c r="H106" s="22" t="s">
        <v>86</v>
      </c>
      <c r="K106" s="51" t="e">
        <f>(K77/K75)*100</f>
        <v>#DIV/0!</v>
      </c>
      <c r="L106" s="51" t="e">
        <f>(L77/L75)*100</f>
        <v>#DIV/0!</v>
      </c>
      <c r="M106" s="51" t="e">
        <f>(M77/M75)*100</f>
        <v>#DIV/0!</v>
      </c>
      <c r="N106" s="51" t="e">
        <f>(N77/N75)*100</f>
        <v>#DIV/0!</v>
      </c>
      <c r="O106" s="51" t="e">
        <f>(O77/O75)*100</f>
        <v>#DIV/0!</v>
      </c>
      <c r="P106" s="47" t="e">
        <f t="shared" si="39"/>
        <v>#DIV/0!</v>
      </c>
      <c r="Q106" s="22" t="s">
        <v>53</v>
      </c>
      <c r="S106" s="44">
        <f aca="true" t="shared" si="40" ref="S106:S112">T106-X106</f>
        <v>-52.0522321445346</v>
      </c>
      <c r="T106" s="51">
        <f>(T72/T102)*100</f>
        <v>53.39037465095791</v>
      </c>
      <c r="U106" s="51">
        <f>(U72/U102)*100</f>
        <v>48.94828372331367</v>
      </c>
      <c r="V106" s="51">
        <f>(V72/V102)*100</f>
        <v>48.024396831112696</v>
      </c>
      <c r="W106" s="51">
        <f>(W72/W102)*100</f>
        <v>51.18096614954991</v>
      </c>
      <c r="X106" s="51">
        <f>(X72/X102)*100</f>
        <v>105.44260679549251</v>
      </c>
      <c r="Y106" s="140">
        <f aca="true" t="shared" si="41" ref="Y106:Y112">AVERAGE(T106:X106)</f>
        <v>61.397325630085334</v>
      </c>
      <c r="Z106" s="22" t="s">
        <v>23</v>
      </c>
      <c r="AB106" s="44">
        <f t="shared" si="37"/>
        <v>-0.1503781590112525</v>
      </c>
      <c r="AC106" s="51">
        <f>AC69/AC71</f>
        <v>0.3829551743220808</v>
      </c>
      <c r="AD106" s="51">
        <f>AD69/AD71</f>
        <v>0.433411214953271</v>
      </c>
      <c r="AE106" s="51">
        <f>AE69/AE71</f>
        <v>1.5279503105590062</v>
      </c>
      <c r="AF106" s="51">
        <f>AF69/AF71</f>
        <v>1.250814332247557</v>
      </c>
      <c r="AG106" s="51">
        <f>AG69/AG71</f>
        <v>0.5333333333333333</v>
      </c>
      <c r="AH106" s="140">
        <f t="shared" si="38"/>
        <v>0.8256928730830497</v>
      </c>
      <c r="AI106" s="22" t="s">
        <v>53</v>
      </c>
      <c r="AJ106" s="25"/>
      <c r="AK106" s="44">
        <f aca="true" t="shared" si="42" ref="AK106:AK112">AL106-AP106</f>
        <v>11.818237070698572</v>
      </c>
      <c r="AL106" s="51">
        <f>(AL72/AL102)*100</f>
        <v>68.89978213507625</v>
      </c>
      <c r="AM106" s="51">
        <f>(AM72/AM102)*100</f>
        <v>68.33148353681095</v>
      </c>
      <c r="AN106" s="51">
        <f>(AN72/AN102)*100</f>
        <v>19.59140911471975</v>
      </c>
      <c r="AO106" s="51">
        <f>(AO72/AO102)*100</f>
        <v>21.11506524317912</v>
      </c>
      <c r="AP106" s="51">
        <f>(AP72/AP102)*100</f>
        <v>57.08154506437768</v>
      </c>
      <c r="AQ106" s="140">
        <f aca="true" t="shared" si="43" ref="AQ106:AQ112">AVERAGE(AL106:AP106)</f>
        <v>47.00385701883275</v>
      </c>
      <c r="AR106" s="22" t="s">
        <v>53</v>
      </c>
      <c r="AT106" s="44">
        <f aca="true" t="shared" si="44" ref="AT106:AT112">AU106-AY106</f>
        <v>6.667309219140364</v>
      </c>
      <c r="AU106" s="51">
        <f>(AU72/AU102)*100</f>
        <v>70.86160605320967</v>
      </c>
      <c r="AV106" s="51">
        <f>(AV72/AV102)*100</f>
        <v>61.935448030664965</v>
      </c>
      <c r="AW106" s="51">
        <f>(AW72/AW102)*100</f>
        <v>58.510359297141356</v>
      </c>
      <c r="AX106" s="51">
        <f>(AX72/AX102)*100</f>
        <v>61.08333823442922</v>
      </c>
      <c r="AY106" s="51">
        <f>(AY72/AY102)*100</f>
        <v>64.1942968340693</v>
      </c>
      <c r="AZ106" s="140">
        <f aca="true" t="shared" si="45" ref="AZ106:AZ112">AVERAGE(AU106:AY106)</f>
        <v>63.317009689902896</v>
      </c>
    </row>
    <row r="107" spans="8:52" ht="12">
      <c r="H107" s="22" t="s">
        <v>23</v>
      </c>
      <c r="K107" s="51" t="e">
        <f>K69/K71</f>
        <v>#DIV/0!</v>
      </c>
      <c r="L107" s="51" t="e">
        <f>L69/L71</f>
        <v>#DIV/0!</v>
      </c>
      <c r="M107" s="51" t="e">
        <f>M69/M71</f>
        <v>#DIV/0!</v>
      </c>
      <c r="N107" s="51" t="e">
        <f>N69/N71</f>
        <v>#DIV/0!</v>
      </c>
      <c r="O107" s="51" t="e">
        <f>O69/O71</f>
        <v>#DIV/0!</v>
      </c>
      <c r="P107" s="47" t="e">
        <f t="shared" si="39"/>
        <v>#DIV/0!</v>
      </c>
      <c r="Q107" s="22" t="s">
        <v>54</v>
      </c>
      <c r="S107" s="44">
        <f t="shared" si="40"/>
        <v>17.246789043045247</v>
      </c>
      <c r="T107" s="51">
        <f>T77/T78</f>
        <v>40.2294557097119</v>
      </c>
      <c r="U107" s="51">
        <f>U77/U78</f>
        <v>33.208159480760365</v>
      </c>
      <c r="V107" s="51">
        <f>V77/V78</f>
        <v>55.53781512605029</v>
      </c>
      <c r="W107" s="51">
        <f>W77/W78</f>
        <v>60.64923076923095</v>
      </c>
      <c r="X107" s="51">
        <f>X77/X78</f>
        <v>22.982666666666653</v>
      </c>
      <c r="Y107" s="140">
        <f t="shared" si="41"/>
        <v>42.521465550484024</v>
      </c>
      <c r="Z107" s="22" t="s">
        <v>49</v>
      </c>
      <c r="AB107" s="44">
        <f t="shared" si="37"/>
        <v>-82.21125105581893</v>
      </c>
      <c r="AC107" s="51">
        <f>((AC80-AC78-AC79)/AC98)*100</f>
        <v>-5.3013798111837325</v>
      </c>
      <c r="AD107" s="51">
        <f>((AD80-AD78-AD79)/AD98)*100</f>
        <v>-3.0336662967073624</v>
      </c>
      <c r="AE107" s="51">
        <f>((AE77-AE78-AE79)/AE98)*100</f>
        <v>60.50288108957569</v>
      </c>
      <c r="AF107" s="51">
        <f>((AF77-AF78-AF79)/AF98)*100</f>
        <v>60.73546856465006</v>
      </c>
      <c r="AG107" s="51">
        <f>((AG77-AG78-AG79)/AG98)*100</f>
        <v>76.9098712446352</v>
      </c>
      <c r="AH107" s="140">
        <f t="shared" si="38"/>
        <v>37.96263495819397</v>
      </c>
      <c r="AI107" s="22" t="s">
        <v>54</v>
      </c>
      <c r="AJ107" s="25"/>
      <c r="AK107" s="44">
        <f t="shared" si="42"/>
        <v>76.51630769230768</v>
      </c>
      <c r="AL107" s="51">
        <f>AL77/AL78</f>
        <v>1.8239999999999903</v>
      </c>
      <c r="AM107" s="51">
        <f>AM77/AM78</f>
        <v>31.054639175257723</v>
      </c>
      <c r="AN107" s="51">
        <f>AN77/AN78</f>
        <v>-90.21428571428571</v>
      </c>
      <c r="AO107" s="51">
        <f>AO77/AO78</f>
        <v>-85.15384615384616</v>
      </c>
      <c r="AP107" s="51">
        <f>AP77/AP78</f>
        <v>-74.6923076923077</v>
      </c>
      <c r="AQ107" s="140">
        <f t="shared" si="43"/>
        <v>-43.436360077036376</v>
      </c>
      <c r="AR107" s="22" t="s">
        <v>54</v>
      </c>
      <c r="AT107" s="44">
        <f t="shared" si="44"/>
        <v>78.17351190476191</v>
      </c>
      <c r="AU107" s="51">
        <f>AU77/AU78</f>
        <v>117.37142857142857</v>
      </c>
      <c r="AV107" s="51">
        <f>AV77/AV78</f>
        <v>203.1875</v>
      </c>
      <c r="AW107" s="51">
        <f>AW77/AW78</f>
        <v>65.89855072463769</v>
      </c>
      <c r="AX107" s="51">
        <f>AX77/AX78</f>
        <v>102.74358974358974</v>
      </c>
      <c r="AY107" s="51">
        <f>AY77/AY78</f>
        <v>39.197916666666664</v>
      </c>
      <c r="AZ107" s="140">
        <f t="shared" si="45"/>
        <v>105.67979714126452</v>
      </c>
    </row>
    <row r="108" spans="8:52" ht="12">
      <c r="H108" s="22" t="s">
        <v>49</v>
      </c>
      <c r="K108" s="51" t="e">
        <f>((K80-K78-K79)/K98)*100</f>
        <v>#DIV/0!</v>
      </c>
      <c r="L108" s="51" t="e">
        <f>((L80-L78-L79)/L98)*100</f>
        <v>#DIV/0!</v>
      </c>
      <c r="M108" s="51" t="e">
        <f>((M77-M78-M79)/M98)*100</f>
        <v>#DIV/0!</v>
      </c>
      <c r="N108" s="51" t="e">
        <f>((N77-N78-N79)/N98)*100</f>
        <v>#DIV/0!</v>
      </c>
      <c r="O108" s="51" t="e">
        <f>((O77-O78-O79)/O98)*100</f>
        <v>#DIV/0!</v>
      </c>
      <c r="P108" s="47" t="e">
        <f t="shared" si="39"/>
        <v>#DIV/0!</v>
      </c>
      <c r="Q108" s="22" t="s">
        <v>97</v>
      </c>
      <c r="S108" s="44">
        <f t="shared" si="40"/>
        <v>-2.0725746590019885</v>
      </c>
      <c r="T108" s="51">
        <f>(T80/T73)*100</f>
        <v>13.833517190014122</v>
      </c>
      <c r="U108" s="51">
        <f>(U80/U73)*100</f>
        <v>11.289437115064594</v>
      </c>
      <c r="V108" s="51">
        <f>(V80/V73)*100</f>
        <v>12.833447757778375</v>
      </c>
      <c r="W108" s="51">
        <f>(W80/W73)*100</f>
        <v>15.201643549306477</v>
      </c>
      <c r="X108" s="51">
        <f>(X80/X73)*100</f>
        <v>15.90609184901611</v>
      </c>
      <c r="Y108" s="140">
        <f t="shared" si="41"/>
        <v>13.812827492235934</v>
      </c>
      <c r="Z108" s="22" t="s">
        <v>50</v>
      </c>
      <c r="AB108" s="44">
        <f t="shared" si="37"/>
        <v>-25.099563462943763</v>
      </c>
      <c r="AC108" s="51">
        <f>((AC80-AC78-AC79)/AC75)*100</f>
        <v>-2.4102750354937763</v>
      </c>
      <c r="AD108" s="51">
        <f>((AD80-AD78-AD79)/AD75)*100</f>
        <v>-1.3549239920687377</v>
      </c>
      <c r="AE108" s="51">
        <f>((AE77-AE78-AE79)/AE75)*100</f>
        <v>23.290986085904418</v>
      </c>
      <c r="AF108" s="51">
        <f>((AF77-AF78-AF79)/AF75)*100</f>
        <v>23.797350685568208</v>
      </c>
      <c r="AG108" s="51">
        <f>((AG77-AG78-AG79)/AG75)*100</f>
        <v>22.689288427449988</v>
      </c>
      <c r="AH108" s="140">
        <f t="shared" si="38"/>
        <v>13.202485234272018</v>
      </c>
      <c r="AI108" s="22" t="s">
        <v>97</v>
      </c>
      <c r="AJ108" s="25"/>
      <c r="AK108" s="44">
        <f t="shared" si="42"/>
        <v>-20.894804345839148</v>
      </c>
      <c r="AL108" s="51">
        <f>(AL80/AL73)*100</f>
        <v>-6.854949273375377</v>
      </c>
      <c r="AM108" s="51">
        <f>(AM80/AM73)*100</f>
        <v>2.621068397403894</v>
      </c>
      <c r="AN108" s="51">
        <f>(AN80/AN73)*100</f>
        <v>15.045592705167174</v>
      </c>
      <c r="AO108" s="51">
        <f>(AO80/AO73)*100</f>
        <v>15.146579804560261</v>
      </c>
      <c r="AP108" s="51">
        <f>(AP80/AP73)*100</f>
        <v>14.03985507246377</v>
      </c>
      <c r="AQ108" s="140">
        <f t="shared" si="43"/>
        <v>7.999629341243944</v>
      </c>
      <c r="AR108" s="22" t="s">
        <v>97</v>
      </c>
      <c r="AT108" s="44">
        <f t="shared" si="44"/>
        <v>13.944377494258294</v>
      </c>
      <c r="AU108" s="51">
        <f>(AU80/AU73)*100</f>
        <v>39.329268292682926</v>
      </c>
      <c r="AV108" s="51">
        <f>(AV80/AV73)*100</f>
        <v>34.50441896136148</v>
      </c>
      <c r="AW108" s="51">
        <f>(AW80/AW73)*100</f>
        <v>25.40525625991584</v>
      </c>
      <c r="AX108" s="51">
        <f>(AX80/AX73)*100</f>
        <v>23.104364326375713</v>
      </c>
      <c r="AY108" s="51">
        <f>(AY80/AY73)*100</f>
        <v>25.38489079842463</v>
      </c>
      <c r="AZ108" s="140">
        <f t="shared" si="45"/>
        <v>29.54563972775212</v>
      </c>
    </row>
    <row r="109" spans="8:52" ht="12">
      <c r="H109" s="22" t="s">
        <v>50</v>
      </c>
      <c r="K109" s="51" t="e">
        <f>((K80-K78-K79)/K75)*100</f>
        <v>#DIV/0!</v>
      </c>
      <c r="L109" s="51" t="e">
        <f>((L80-L78-L79)/L75)*100</f>
        <v>#DIV/0!</v>
      </c>
      <c r="M109" s="51" t="e">
        <f>((M77-M78-M79)/M75)*100</f>
        <v>#DIV/0!</v>
      </c>
      <c r="N109" s="51" t="e">
        <f>((N77-N78-N79)/N75)*100</f>
        <v>#DIV/0!</v>
      </c>
      <c r="O109" s="51" t="e">
        <f>((O77-O78-O79)/O75)*100</f>
        <v>#DIV/0!</v>
      </c>
      <c r="P109" s="47" t="e">
        <f t="shared" si="39"/>
        <v>#DIV/0!</v>
      </c>
      <c r="Q109" s="22" t="s">
        <v>86</v>
      </c>
      <c r="S109" s="44">
        <f t="shared" si="40"/>
        <v>0.27981048596996416</v>
      </c>
      <c r="T109" s="51">
        <f>(T77/T75)*100</f>
        <v>4.063455446305018</v>
      </c>
      <c r="U109" s="51">
        <f>(U77/U75)*100</f>
        <v>3.8134871339840344</v>
      </c>
      <c r="V109" s="51">
        <f>(V77/V75)*100</f>
        <v>4.315621299714415</v>
      </c>
      <c r="W109" s="51">
        <f>(W77/W75)*100</f>
        <v>4.270517375855806</v>
      </c>
      <c r="X109" s="51">
        <f>(X77/X75)*100</f>
        <v>3.783644960335054</v>
      </c>
      <c r="Y109" s="140">
        <f t="shared" si="41"/>
        <v>4.049345243238865</v>
      </c>
      <c r="AH109" s="137"/>
      <c r="AI109" s="22" t="s">
        <v>86</v>
      </c>
      <c r="AJ109" s="25"/>
      <c r="AK109" s="44">
        <f t="shared" si="42"/>
        <v>-23.459306073191275</v>
      </c>
      <c r="AL109" s="51">
        <f>(AL77/AL75)*100</f>
        <v>1.1291973453957085</v>
      </c>
      <c r="AM109" s="51">
        <f>(AM77/AM75)*100</f>
        <v>24.8868142762723</v>
      </c>
      <c r="AN109" s="51">
        <f>(AN77/AN75)*100</f>
        <v>25.468844525105865</v>
      </c>
      <c r="AO109" s="51">
        <f>(AO77/AO75)*100</f>
        <v>25.72623750871485</v>
      </c>
      <c r="AP109" s="51">
        <f>(AP77/AP75)*100</f>
        <v>24.588503418586985</v>
      </c>
      <c r="AQ109" s="140">
        <f t="shared" si="43"/>
        <v>20.359919414815142</v>
      </c>
      <c r="AR109" s="22" t="s">
        <v>86</v>
      </c>
      <c r="AT109" s="44">
        <f t="shared" si="44"/>
        <v>9.941182999403136</v>
      </c>
      <c r="AU109" s="51">
        <f>(AU77/AU75)*100</f>
        <v>31.033050047214356</v>
      </c>
      <c r="AV109" s="51">
        <f>(AV77/AV75)*100</f>
        <v>27.148225469728597</v>
      </c>
      <c r="AW109" s="51">
        <f>(AW77/AW75)*100</f>
        <v>21.221879958928405</v>
      </c>
      <c r="AX109" s="51">
        <f>(AX77/AX75)*100</f>
        <v>21.258422197464057</v>
      </c>
      <c r="AY109" s="51">
        <f>(AY77/AY75)*100</f>
        <v>21.09186704781122</v>
      </c>
      <c r="AZ109" s="140">
        <f t="shared" si="45"/>
        <v>24.350688944229326</v>
      </c>
    </row>
    <row r="110" spans="17:52" ht="12">
      <c r="Q110" s="22" t="s">
        <v>23</v>
      </c>
      <c r="S110" s="44">
        <f t="shared" si="40"/>
        <v>0.4293386940117869</v>
      </c>
      <c r="T110" s="51">
        <f>T69/T71</f>
        <v>1.7460238186707644</v>
      </c>
      <c r="U110" s="51">
        <f>U69/U71</f>
        <v>1.703515475735575</v>
      </c>
      <c r="V110" s="51">
        <f>V69/V71</f>
        <v>1.579667886457407</v>
      </c>
      <c r="W110" s="51">
        <f>W69/W71</f>
        <v>1.5881323498143636</v>
      </c>
      <c r="X110" s="51">
        <f>X69/X71</f>
        <v>1.3166851246589775</v>
      </c>
      <c r="Y110" s="140">
        <f t="shared" si="41"/>
        <v>1.5868049310674177</v>
      </c>
      <c r="AH110" s="137"/>
      <c r="AI110" s="22" t="s">
        <v>23</v>
      </c>
      <c r="AJ110" s="25"/>
      <c r="AK110" s="44">
        <f t="shared" si="42"/>
        <v>-0.1503781590112525</v>
      </c>
      <c r="AL110" s="51">
        <f>AL69/AL71</f>
        <v>0.3829551743220808</v>
      </c>
      <c r="AM110" s="51">
        <f>AM69/AM71</f>
        <v>0.433411214953271</v>
      </c>
      <c r="AN110" s="51">
        <f>AN69/AN71</f>
        <v>1.5279503105590062</v>
      </c>
      <c r="AO110" s="51">
        <f>AO69/AO71</f>
        <v>1.250814332247557</v>
      </c>
      <c r="AP110" s="51">
        <f>AP69/AP71</f>
        <v>0.5333333333333333</v>
      </c>
      <c r="AQ110" s="140">
        <f t="shared" si="43"/>
        <v>0.8256928730830497</v>
      </c>
      <c r="AR110" s="22" t="s">
        <v>23</v>
      </c>
      <c r="AT110" s="44">
        <f t="shared" si="44"/>
        <v>0.3166580946422366</v>
      </c>
      <c r="AU110" s="51">
        <f>AU69/AU71</f>
        <v>1.7927384354821636</v>
      </c>
      <c r="AV110" s="51">
        <f>AV69/AV71</f>
        <v>2.0134522591022077</v>
      </c>
      <c r="AW110" s="51">
        <f>AW69/AW71</f>
        <v>1.9773796872627905</v>
      </c>
      <c r="AX110" s="51">
        <f>AX69/AX71</f>
        <v>1.7677645623665752</v>
      </c>
      <c r="AY110" s="51">
        <f>AY69/AY71</f>
        <v>1.476080340839927</v>
      </c>
      <c r="AZ110" s="140">
        <f t="shared" si="45"/>
        <v>1.8054830570107328</v>
      </c>
    </row>
    <row r="111" spans="17:52" ht="12">
      <c r="Q111" s="22" t="s">
        <v>49</v>
      </c>
      <c r="S111" s="44">
        <f t="shared" si="40"/>
        <v>-7.203194922185178</v>
      </c>
      <c r="T111" s="51">
        <f>((T80+T78+T79)/T102)*100</f>
        <v>11.676148665800595</v>
      </c>
      <c r="U111" s="51">
        <f>((U80+U78+U79)/U102)*100</f>
        <v>8.713488518478169</v>
      </c>
      <c r="V111" s="51">
        <f>((V80+V78+V79)/V102)*100</f>
        <v>9.092545912855599</v>
      </c>
      <c r="W111" s="51">
        <f>((W80+W78+W79)/W102)*100</f>
        <v>12.368172298111318</v>
      </c>
      <c r="X111" s="51">
        <f>((X80+X78+X79)/X102)*100</f>
        <v>18.879343587985773</v>
      </c>
      <c r="Y111" s="140">
        <f t="shared" si="41"/>
        <v>12.14593979664629</v>
      </c>
      <c r="AH111" s="137"/>
      <c r="AI111" s="22" t="s">
        <v>49</v>
      </c>
      <c r="AJ111" s="25"/>
      <c r="AK111" s="44">
        <f t="shared" si="42"/>
        <v>-23.51881461533906</v>
      </c>
      <c r="AL111" s="51">
        <f>((AL80+AL78+AL79)/AL102)*100</f>
        <v>-3.776325344952796</v>
      </c>
      <c r="AM111" s="51">
        <f>((AM80+AM78+AM79)/AM102)*100</f>
        <v>6.918238993710692</v>
      </c>
      <c r="AN111" s="51">
        <f>((AN80+AN78+AN79)/AN102)*100</f>
        <v>16.029334730225248</v>
      </c>
      <c r="AO111" s="51">
        <f>((AO80+AO78+AO79)/AO102)*100</f>
        <v>15.954922894424675</v>
      </c>
      <c r="AP111" s="51">
        <f>((AP80+AP78+AP79)/AP102)*100</f>
        <v>19.742489270386265</v>
      </c>
      <c r="AQ111" s="140">
        <f t="shared" si="43"/>
        <v>10.973732108758817</v>
      </c>
      <c r="AR111" s="22" t="s">
        <v>49</v>
      </c>
      <c r="AT111" s="44">
        <f t="shared" si="44"/>
        <v>12.632596369124254</v>
      </c>
      <c r="AU111" s="51">
        <f>((AU80+AU78+AU79)/AU102)*100</f>
        <v>40.52721503539175</v>
      </c>
      <c r="AV111" s="51">
        <f>((AV80+AV78+AV79)/AV102)*100</f>
        <v>35.34248097327926</v>
      </c>
      <c r="AW111" s="51">
        <f>((AW80+AW78+AW79)/AW102)*100</f>
        <v>26.215578284815106</v>
      </c>
      <c r="AX111" s="51">
        <f>((AX80+AX78+AX79)/AX102)*100</f>
        <v>23.34293948126801</v>
      </c>
      <c r="AY111" s="51">
        <f>((AY80+AY78+AY79)/AY102)*100</f>
        <v>27.894618666267494</v>
      </c>
      <c r="AZ111" s="140">
        <f t="shared" si="45"/>
        <v>30.664566488204326</v>
      </c>
    </row>
    <row r="112" spans="17:52" ht="12">
      <c r="Q112" s="22" t="s">
        <v>50</v>
      </c>
      <c r="S112" s="44">
        <f t="shared" si="40"/>
        <v>0.3457748687569633</v>
      </c>
      <c r="T112" s="51">
        <f>((T80+T78+T79)/T75)*100</f>
        <v>4.214588608149279</v>
      </c>
      <c r="U112" s="51">
        <f>((U80+U78+U79)/U75)*100</f>
        <v>3.8322803904170364</v>
      </c>
      <c r="V112" s="51">
        <f>((V80+V78+V79)/V75)*100</f>
        <v>4.396809918506652</v>
      </c>
      <c r="W112" s="51">
        <f>((W80+W78+W79)/W75)*100</f>
        <v>4.337247595112228</v>
      </c>
      <c r="X112" s="51">
        <f>((X80+X78+X79)/X75)*100</f>
        <v>3.868813739392316</v>
      </c>
      <c r="Y112" s="140">
        <f t="shared" si="41"/>
        <v>4.129948050315503</v>
      </c>
      <c r="AH112" s="137"/>
      <c r="AI112" s="22" t="s">
        <v>50</v>
      </c>
      <c r="AJ112" s="25"/>
      <c r="AK112" s="44">
        <f t="shared" si="42"/>
        <v>-7.541167550614777</v>
      </c>
      <c r="AL112" s="51">
        <f>((AL80+AL78+AL79)/AL75)*100</f>
        <v>-1.7169082444613202</v>
      </c>
      <c r="AM112" s="51">
        <f>((AM80+AM78+AM79)/AM75)*100</f>
        <v>3.089887640449438</v>
      </c>
      <c r="AN112" s="51">
        <f>((AN80+AN78+AN79)/AN75)*100</f>
        <v>6.170598911070781</v>
      </c>
      <c r="AO112" s="51">
        <f>((AO80+AO78+AO79)/AO75)*100</f>
        <v>6.25145247501743</v>
      </c>
      <c r="AP112" s="51">
        <f>((AP80+AP78+AP79)/AP75)*100</f>
        <v>5.824259306153456</v>
      </c>
      <c r="AQ112" s="140">
        <f t="shared" si="43"/>
        <v>3.9238580176459563</v>
      </c>
      <c r="AR112" s="22" t="s">
        <v>50</v>
      </c>
      <c r="AT112" s="44">
        <f t="shared" si="44"/>
        <v>10.467800160466876</v>
      </c>
      <c r="AU112" s="51">
        <f>((AU80+AU78+AU79)/AU75)*100</f>
        <v>31.35788479697828</v>
      </c>
      <c r="AV112" s="51">
        <f>((AV80+AV78+AV79)/AV75)*100</f>
        <v>26.563674321503132</v>
      </c>
      <c r="AW112" s="51">
        <f>((AW80+AW78+AW79)/AW75)*100</f>
        <v>23.326799215905908</v>
      </c>
      <c r="AX112" s="51">
        <f>((AX80+AX78+AX79)/AX75)*100</f>
        <v>21.05681999045042</v>
      </c>
      <c r="AY112" s="51">
        <f>((AY80+AY78+AY79)/AY75)*100</f>
        <v>20.890084636511403</v>
      </c>
      <c r="AZ112" s="140">
        <f t="shared" si="45"/>
        <v>24.639052592269827</v>
      </c>
    </row>
    <row r="113" spans="34:52" ht="12">
      <c r="AH113" s="137"/>
      <c r="AI113" s="25"/>
      <c r="AJ113" s="25"/>
      <c r="AK113" s="25"/>
      <c r="AL113" s="25"/>
      <c r="AM113" s="25"/>
      <c r="AN113" s="25"/>
      <c r="AO113" s="25"/>
      <c r="AP113" s="25"/>
      <c r="AQ113" s="137"/>
      <c r="AZ113" s="137"/>
    </row>
    <row r="114" spans="34:52" ht="12">
      <c r="AH114" s="137"/>
      <c r="AI114" s="25"/>
      <c r="AJ114" s="25"/>
      <c r="AK114" s="25"/>
      <c r="AL114" s="25"/>
      <c r="AM114" s="25"/>
      <c r="AN114" s="25"/>
      <c r="AO114" s="25"/>
      <c r="AP114" s="25"/>
      <c r="AQ114" s="137"/>
      <c r="AZ114" s="137"/>
    </row>
    <row r="115" spans="34:52" ht="12">
      <c r="AH115" s="137"/>
      <c r="AI115" s="25"/>
      <c r="AJ115" s="25"/>
      <c r="AK115" s="25"/>
      <c r="AL115" s="25"/>
      <c r="AM115" s="25"/>
      <c r="AN115" s="25"/>
      <c r="AO115" s="25"/>
      <c r="AP115" s="25"/>
      <c r="AQ115" s="137"/>
      <c r="AZ115" s="137"/>
    </row>
    <row r="116" spans="34:52" ht="12">
      <c r="AH116" s="137"/>
      <c r="AI116" s="25"/>
      <c r="AJ116" s="25"/>
      <c r="AK116" s="25"/>
      <c r="AL116" s="25"/>
      <c r="AM116" s="25"/>
      <c r="AN116" s="25"/>
      <c r="AO116" s="25"/>
      <c r="AP116" s="25"/>
      <c r="AQ116" s="137"/>
      <c r="AZ116" s="137"/>
    </row>
    <row r="117" spans="21:52" ht="12">
      <c r="U117" s="145" t="s">
        <v>222</v>
      </c>
      <c r="AH117" s="137"/>
      <c r="AI117" s="25"/>
      <c r="AJ117" s="25"/>
      <c r="AK117" s="25"/>
      <c r="AL117" s="25"/>
      <c r="AM117" s="145" t="s">
        <v>233</v>
      </c>
      <c r="AN117" s="25"/>
      <c r="AO117" s="25"/>
      <c r="AP117" s="25"/>
      <c r="AQ117" s="137"/>
      <c r="AV117" s="145" t="s">
        <v>244</v>
      </c>
      <c r="AZ117" s="137"/>
    </row>
    <row r="118" spans="17:52" ht="12">
      <c r="Q118" s="23" t="s">
        <v>119</v>
      </c>
      <c r="R118" s="23"/>
      <c r="S118" s="23"/>
      <c r="T118" s="23"/>
      <c r="U118" s="23"/>
      <c r="V118" s="23"/>
      <c r="W118" s="23"/>
      <c r="X118" s="23"/>
      <c r="Y118" s="136"/>
      <c r="Z118" s="23" t="s">
        <v>137</v>
      </c>
      <c r="AA118" s="23"/>
      <c r="AB118" s="23"/>
      <c r="AC118" s="23"/>
      <c r="AD118" s="23"/>
      <c r="AE118" s="23"/>
      <c r="AF118" s="23"/>
      <c r="AG118" s="23"/>
      <c r="AH118" s="136"/>
      <c r="AI118" s="23" t="s">
        <v>137</v>
      </c>
      <c r="AJ118" s="23"/>
      <c r="AK118" s="23"/>
      <c r="AL118" s="23"/>
      <c r="AM118" s="23"/>
      <c r="AN118" s="23"/>
      <c r="AO118" s="23"/>
      <c r="AP118" s="23"/>
      <c r="AQ118" s="136"/>
      <c r="AR118" s="23" t="s">
        <v>154</v>
      </c>
      <c r="AS118" s="23"/>
      <c r="AT118" s="23"/>
      <c r="AU118" s="23"/>
      <c r="AV118" s="23"/>
      <c r="AW118" s="23"/>
      <c r="AX118" s="23"/>
      <c r="AY118" s="23"/>
      <c r="AZ118" s="136"/>
    </row>
    <row r="119" spans="8:52" ht="12">
      <c r="H119" s="22" t="s">
        <v>108</v>
      </c>
      <c r="AH119" s="137"/>
      <c r="AI119" s="22" t="s">
        <v>220</v>
      </c>
      <c r="AJ119" s="25"/>
      <c r="AK119" s="25"/>
      <c r="AL119" s="25"/>
      <c r="AM119" s="25"/>
      <c r="AN119" s="25"/>
      <c r="AO119" s="25"/>
      <c r="AP119" s="25"/>
      <c r="AQ119" s="137"/>
      <c r="AZ119" s="137"/>
    </row>
    <row r="120" spans="17:52" ht="12">
      <c r="Q120" s="25" t="s">
        <v>22</v>
      </c>
      <c r="Z120" s="25" t="s">
        <v>22</v>
      </c>
      <c r="AH120" s="137"/>
      <c r="AI120" s="25" t="s">
        <v>22</v>
      </c>
      <c r="AJ120" s="25"/>
      <c r="AK120" s="25"/>
      <c r="AL120" s="25"/>
      <c r="AM120" s="25"/>
      <c r="AN120" s="25"/>
      <c r="AO120" s="25"/>
      <c r="AP120" s="25"/>
      <c r="AQ120" s="137"/>
      <c r="AR120" s="25" t="s">
        <v>22</v>
      </c>
      <c r="AZ120" s="137"/>
    </row>
    <row r="121" spans="8:52" ht="12">
      <c r="H121" s="25" t="s">
        <v>109</v>
      </c>
      <c r="Q121" s="25" t="s">
        <v>114</v>
      </c>
      <c r="Z121" s="25" t="s">
        <v>114</v>
      </c>
      <c r="AH121" s="137"/>
      <c r="AI121" s="25" t="s">
        <v>114</v>
      </c>
      <c r="AJ121" s="25"/>
      <c r="AK121" s="25"/>
      <c r="AL121" s="25"/>
      <c r="AM121" s="25"/>
      <c r="AN121" s="25"/>
      <c r="AO121" s="25"/>
      <c r="AP121" s="25"/>
      <c r="AQ121" s="137"/>
      <c r="AR121" s="25" t="s">
        <v>114</v>
      </c>
      <c r="AZ121" s="137"/>
    </row>
    <row r="122" spans="8:52" ht="12">
      <c r="H122" s="25" t="s">
        <v>110</v>
      </c>
      <c r="Q122" s="25" t="s">
        <v>52</v>
      </c>
      <c r="Z122" s="25" t="s">
        <v>52</v>
      </c>
      <c r="AH122" s="137"/>
      <c r="AI122" s="25" t="s">
        <v>52</v>
      </c>
      <c r="AJ122" s="25"/>
      <c r="AK122" s="25"/>
      <c r="AL122" s="25"/>
      <c r="AM122" s="25"/>
      <c r="AN122" s="25"/>
      <c r="AO122" s="25"/>
      <c r="AP122" s="25"/>
      <c r="AQ122" s="137"/>
      <c r="AR122" s="25" t="s">
        <v>52</v>
      </c>
      <c r="AZ122" s="137"/>
    </row>
    <row r="123" spans="34:52" ht="12">
      <c r="AH123" s="137"/>
      <c r="AI123" s="25"/>
      <c r="AJ123" s="25"/>
      <c r="AK123" s="25"/>
      <c r="AL123" s="25"/>
      <c r="AM123" s="25"/>
      <c r="AN123" s="25"/>
      <c r="AO123" s="25"/>
      <c r="AP123" s="25"/>
      <c r="AQ123" s="137"/>
      <c r="AZ123" s="137"/>
    </row>
    <row r="124" spans="8:52" ht="12">
      <c r="H124" s="25" t="s">
        <v>111</v>
      </c>
      <c r="T124" s="28" t="s">
        <v>25</v>
      </c>
      <c r="U124" s="28" t="s">
        <v>25</v>
      </c>
      <c r="V124" s="28" t="s">
        <v>25</v>
      </c>
      <c r="W124" s="28" t="s">
        <v>25</v>
      </c>
      <c r="X124" s="28" t="s">
        <v>25</v>
      </c>
      <c r="Y124" s="138"/>
      <c r="AC124" s="28" t="s">
        <v>25</v>
      </c>
      <c r="AD124" s="28" t="s">
        <v>25</v>
      </c>
      <c r="AE124" s="28" t="s">
        <v>25</v>
      </c>
      <c r="AF124" s="28" t="s">
        <v>25</v>
      </c>
      <c r="AG124" s="28" t="s">
        <v>25</v>
      </c>
      <c r="AH124" s="138"/>
      <c r="AI124" s="25"/>
      <c r="AJ124" s="25"/>
      <c r="AK124" s="25"/>
      <c r="AL124" s="28" t="s">
        <v>25</v>
      </c>
      <c r="AM124" s="28" t="s">
        <v>25</v>
      </c>
      <c r="AN124" s="28" t="s">
        <v>25</v>
      </c>
      <c r="AO124" s="28" t="s">
        <v>25</v>
      </c>
      <c r="AP124" s="28" t="s">
        <v>25</v>
      </c>
      <c r="AQ124" s="138"/>
      <c r="AU124" s="28" t="s">
        <v>25</v>
      </c>
      <c r="AV124" s="28" t="s">
        <v>25</v>
      </c>
      <c r="AW124" s="28" t="s">
        <v>25</v>
      </c>
      <c r="AX124" s="28" t="s">
        <v>25</v>
      </c>
      <c r="AY124" s="28" t="s">
        <v>25</v>
      </c>
      <c r="AZ124" s="138"/>
    </row>
    <row r="125" spans="20:52" ht="12">
      <c r="T125" s="28">
        <v>2006</v>
      </c>
      <c r="U125" s="28">
        <v>2005</v>
      </c>
      <c r="V125" s="28">
        <v>2004</v>
      </c>
      <c r="W125" s="28">
        <v>2003</v>
      </c>
      <c r="X125" s="28">
        <v>2002</v>
      </c>
      <c r="Y125" s="138" t="s">
        <v>117</v>
      </c>
      <c r="AC125" s="28">
        <v>2006</v>
      </c>
      <c r="AD125" s="28">
        <v>2005</v>
      </c>
      <c r="AE125" s="28">
        <v>2004</v>
      </c>
      <c r="AF125" s="28">
        <v>2003</v>
      </c>
      <c r="AG125" s="28">
        <v>2002</v>
      </c>
      <c r="AH125" s="138" t="s">
        <v>117</v>
      </c>
      <c r="AI125" s="25"/>
      <c r="AJ125" s="25"/>
      <c r="AK125" s="25"/>
      <c r="AL125" s="28">
        <v>2006</v>
      </c>
      <c r="AM125" s="28">
        <v>2005</v>
      </c>
      <c r="AN125" s="28">
        <v>2004</v>
      </c>
      <c r="AO125" s="28">
        <v>2003</v>
      </c>
      <c r="AP125" s="28">
        <v>2002</v>
      </c>
      <c r="AQ125" s="138" t="s">
        <v>117</v>
      </c>
      <c r="AU125" s="28">
        <v>2006</v>
      </c>
      <c r="AV125" s="28">
        <v>2005</v>
      </c>
      <c r="AW125" s="28">
        <v>2004</v>
      </c>
      <c r="AX125" s="28">
        <v>2003</v>
      </c>
      <c r="AY125" s="28">
        <v>2002</v>
      </c>
      <c r="AZ125" s="138" t="s">
        <v>117</v>
      </c>
    </row>
    <row r="126" spans="8:52" ht="12">
      <c r="H126" s="25" t="s">
        <v>112</v>
      </c>
      <c r="T126" s="28" t="s">
        <v>71</v>
      </c>
      <c r="U126" s="28" t="s">
        <v>71</v>
      </c>
      <c r="V126" s="28" t="s">
        <v>71</v>
      </c>
      <c r="W126" s="28" t="s">
        <v>71</v>
      </c>
      <c r="X126" s="28" t="s">
        <v>71</v>
      </c>
      <c r="Y126" s="138" t="s">
        <v>71</v>
      </c>
      <c r="AC126" s="28" t="s">
        <v>71</v>
      </c>
      <c r="AD126" s="28" t="s">
        <v>71</v>
      </c>
      <c r="AE126" s="28" t="s">
        <v>71</v>
      </c>
      <c r="AF126" s="28" t="s">
        <v>71</v>
      </c>
      <c r="AG126" s="28" t="s">
        <v>71</v>
      </c>
      <c r="AH126" s="138" t="s">
        <v>71</v>
      </c>
      <c r="AI126" s="25"/>
      <c r="AJ126" s="25"/>
      <c r="AK126" s="25"/>
      <c r="AL126" s="28" t="s">
        <v>71</v>
      </c>
      <c r="AM126" s="28" t="s">
        <v>71</v>
      </c>
      <c r="AN126" s="28" t="s">
        <v>71</v>
      </c>
      <c r="AO126" s="28" t="s">
        <v>71</v>
      </c>
      <c r="AP126" s="28" t="s">
        <v>71</v>
      </c>
      <c r="AQ126" s="138" t="s">
        <v>71</v>
      </c>
      <c r="AU126" s="28" t="s">
        <v>71</v>
      </c>
      <c r="AV126" s="28" t="s">
        <v>71</v>
      </c>
      <c r="AW126" s="28" t="s">
        <v>71</v>
      </c>
      <c r="AX126" s="28" t="s">
        <v>71</v>
      </c>
      <c r="AY126" s="28" t="s">
        <v>71</v>
      </c>
      <c r="AZ126" s="138" t="s">
        <v>71</v>
      </c>
    </row>
    <row r="127" spans="8:52" ht="12">
      <c r="H127" s="25" t="s">
        <v>113</v>
      </c>
      <c r="S127" s="22" t="s">
        <v>219</v>
      </c>
      <c r="T127" s="28" t="s">
        <v>38</v>
      </c>
      <c r="U127" s="28" t="s">
        <v>38</v>
      </c>
      <c r="V127" s="28" t="s">
        <v>38</v>
      </c>
      <c r="W127" s="28" t="s">
        <v>38</v>
      </c>
      <c r="X127" s="28" t="s">
        <v>38</v>
      </c>
      <c r="Y127" s="143" t="s">
        <v>38</v>
      </c>
      <c r="AB127" s="22" t="s">
        <v>218</v>
      </c>
      <c r="AC127" s="28" t="s">
        <v>68</v>
      </c>
      <c r="AD127" s="28" t="s">
        <v>68</v>
      </c>
      <c r="AE127" s="28" t="s">
        <v>68</v>
      </c>
      <c r="AF127" s="28" t="s">
        <v>68</v>
      </c>
      <c r="AG127" s="28" t="s">
        <v>68</v>
      </c>
      <c r="AH127" s="138" t="s">
        <v>68</v>
      </c>
      <c r="AI127" s="25"/>
      <c r="AJ127" s="25"/>
      <c r="AK127" s="22" t="s">
        <v>218</v>
      </c>
      <c r="AL127" s="28" t="s">
        <v>38</v>
      </c>
      <c r="AM127" s="28" t="s">
        <v>38</v>
      </c>
      <c r="AN127" s="28" t="s">
        <v>38</v>
      </c>
      <c r="AO127" s="28" t="s">
        <v>38</v>
      </c>
      <c r="AP127" s="28" t="s">
        <v>38</v>
      </c>
      <c r="AQ127" s="143" t="s">
        <v>38</v>
      </c>
      <c r="AT127" s="22" t="s">
        <v>219</v>
      </c>
      <c r="AU127" s="28" t="s">
        <v>38</v>
      </c>
      <c r="AV127" s="28" t="s">
        <v>38</v>
      </c>
      <c r="AW127" s="28" t="s">
        <v>38</v>
      </c>
      <c r="AX127" s="28" t="s">
        <v>38</v>
      </c>
      <c r="AY127" s="28" t="s">
        <v>38</v>
      </c>
      <c r="AZ127" s="143" t="s">
        <v>38</v>
      </c>
    </row>
    <row r="128" spans="17:52" ht="12">
      <c r="Q128" s="25" t="s">
        <v>26</v>
      </c>
      <c r="R128" s="22"/>
      <c r="S128" s="132">
        <f>T128-X128</f>
        <v>2771</v>
      </c>
      <c r="T128" s="42">
        <v>14706</v>
      </c>
      <c r="U128" s="42">
        <v>14405</v>
      </c>
      <c r="V128" s="42">
        <v>13922</v>
      </c>
      <c r="W128" s="42">
        <v>12952</v>
      </c>
      <c r="X128" s="42">
        <v>11935</v>
      </c>
      <c r="Y128" s="53">
        <f>AVERAGE(T128:X128)</f>
        <v>13584</v>
      </c>
      <c r="Z128" s="25" t="s">
        <v>26</v>
      </c>
      <c r="AA128" s="22"/>
      <c r="AB128" s="132">
        <f>AC128-AG128</f>
        <v>1181</v>
      </c>
      <c r="AC128" s="42">
        <v>1430</v>
      </c>
      <c r="AD128" s="42">
        <f>AD129-2590</f>
        <v>1346</v>
      </c>
      <c r="AE128" s="42">
        <v>188</v>
      </c>
      <c r="AF128" s="42">
        <v>268</v>
      </c>
      <c r="AG128" s="42">
        <v>249</v>
      </c>
      <c r="AH128" s="53">
        <f>AVERAGE(AC128:AG128)</f>
        <v>696.2</v>
      </c>
      <c r="AI128" s="25" t="s">
        <v>26</v>
      </c>
      <c r="AJ128" s="22"/>
      <c r="AK128" s="132">
        <f>AL128-AP128</f>
        <v>2362</v>
      </c>
      <c r="AL128" s="42">
        <f aca="true" t="shared" si="46" ref="AL128:AP132">2*AC128</f>
        <v>2860</v>
      </c>
      <c r="AM128" s="42">
        <f t="shared" si="46"/>
        <v>2692</v>
      </c>
      <c r="AN128" s="42">
        <f t="shared" si="46"/>
        <v>376</v>
      </c>
      <c r="AO128" s="42">
        <f t="shared" si="46"/>
        <v>536</v>
      </c>
      <c r="AP128" s="42">
        <f t="shared" si="46"/>
        <v>498</v>
      </c>
      <c r="AQ128" s="53">
        <f>AVERAGE(AL128:AP128)</f>
        <v>1392.4</v>
      </c>
      <c r="AR128" s="25" t="s">
        <v>26</v>
      </c>
      <c r="AS128" s="22"/>
      <c r="AT128" s="132">
        <f>AU128-AY128</f>
        <v>35440</v>
      </c>
      <c r="AU128" s="42">
        <v>74261</v>
      </c>
      <c r="AV128" s="42">
        <v>75290</v>
      </c>
      <c r="AW128" s="42">
        <v>61443</v>
      </c>
      <c r="AX128" s="42">
        <v>45074</v>
      </c>
      <c r="AY128" s="42">
        <v>38821</v>
      </c>
      <c r="AZ128" s="53">
        <f>AVERAGE(AU128:AY128)</f>
        <v>58977.8</v>
      </c>
    </row>
    <row r="129" spans="8:52" ht="12">
      <c r="H129" s="25" t="s">
        <v>120</v>
      </c>
      <c r="Q129" s="25" t="s">
        <v>93</v>
      </c>
      <c r="S129" s="132">
        <f>T129-X129</f>
        <v>8746</v>
      </c>
      <c r="T129" s="42">
        <v>37349</v>
      </c>
      <c r="U129" s="42">
        <v>34995</v>
      </c>
      <c r="V129" s="42">
        <v>32293</v>
      </c>
      <c r="W129" s="42">
        <v>31416</v>
      </c>
      <c r="X129" s="42">
        <v>28603</v>
      </c>
      <c r="Y129" s="53">
        <f>AVERAGE(T129:X129)</f>
        <v>32931.2</v>
      </c>
      <c r="Z129" s="25" t="s">
        <v>93</v>
      </c>
      <c r="AB129" s="132">
        <f>AC129-AG129</f>
        <v>2005</v>
      </c>
      <c r="AC129" s="42">
        <v>3772</v>
      </c>
      <c r="AD129" s="42">
        <v>3936</v>
      </c>
      <c r="AE129" s="42">
        <f>2302+AE128</f>
        <v>2490</v>
      </c>
      <c r="AF129" s="42">
        <f>2168+AF128</f>
        <v>2436</v>
      </c>
      <c r="AG129" s="42">
        <f>1518+AG128</f>
        <v>1767</v>
      </c>
      <c r="AH129" s="53">
        <f>AVERAGE(AC129:AG129)</f>
        <v>2880.2</v>
      </c>
      <c r="AI129" s="25" t="s">
        <v>93</v>
      </c>
      <c r="AJ129" s="25"/>
      <c r="AK129" s="132">
        <f>AL129-AP129</f>
        <v>4010</v>
      </c>
      <c r="AL129" s="42">
        <f t="shared" si="46"/>
        <v>7544</v>
      </c>
      <c r="AM129" s="42">
        <f t="shared" si="46"/>
        <v>7872</v>
      </c>
      <c r="AN129" s="42">
        <f t="shared" si="46"/>
        <v>4980</v>
      </c>
      <c r="AO129" s="42">
        <f t="shared" si="46"/>
        <v>4872</v>
      </c>
      <c r="AP129" s="42">
        <f t="shared" si="46"/>
        <v>3534</v>
      </c>
      <c r="AQ129" s="53">
        <f>AVERAGE(AL129:AP129)</f>
        <v>5760.4</v>
      </c>
      <c r="AR129" s="25" t="s">
        <v>93</v>
      </c>
      <c r="AT129" s="132">
        <f>AU129-AY129</f>
        <v>62146</v>
      </c>
      <c r="AU129" s="42">
        <v>217601</v>
      </c>
      <c r="AV129" s="42">
        <v>206914</v>
      </c>
      <c r="AW129" s="42">
        <v>194630</v>
      </c>
      <c r="AX129" s="42">
        <v>172491</v>
      </c>
      <c r="AY129" s="42">
        <v>155455</v>
      </c>
      <c r="AZ129" s="53">
        <f>AVERAGE(AU129:AY129)</f>
        <v>189418.2</v>
      </c>
    </row>
    <row r="130" spans="17:52" ht="12">
      <c r="Q130" s="25" t="s">
        <v>72</v>
      </c>
      <c r="S130" s="132">
        <f>T130-X130</f>
        <v>3594</v>
      </c>
      <c r="T130" s="42">
        <v>11117</v>
      </c>
      <c r="U130" s="42">
        <v>9588</v>
      </c>
      <c r="V130" s="42">
        <v>8220</v>
      </c>
      <c r="W130" s="42">
        <v>8314</v>
      </c>
      <c r="X130" s="42">
        <v>7523</v>
      </c>
      <c r="Y130" s="53">
        <f>AVERAGE(T130:X130)</f>
        <v>8952.4</v>
      </c>
      <c r="Z130" s="25" t="s">
        <v>72</v>
      </c>
      <c r="AB130" s="132">
        <f>AC130-AG130</f>
        <v>479</v>
      </c>
      <c r="AC130" s="42">
        <v>1115</v>
      </c>
      <c r="AD130" s="42">
        <f>AD131-1488</f>
        <v>964</v>
      </c>
      <c r="AE130" s="42">
        <v>595</v>
      </c>
      <c r="AF130" s="42">
        <v>580</v>
      </c>
      <c r="AG130" s="42">
        <v>636</v>
      </c>
      <c r="AH130" s="53">
        <f>AVERAGE(AC130:AG130)</f>
        <v>778</v>
      </c>
      <c r="AI130" s="25" t="s">
        <v>72</v>
      </c>
      <c r="AJ130" s="25"/>
      <c r="AK130" s="132">
        <f>AL130-AP130</f>
        <v>958</v>
      </c>
      <c r="AL130" s="42">
        <f t="shared" si="46"/>
        <v>2230</v>
      </c>
      <c r="AM130" s="42">
        <f t="shared" si="46"/>
        <v>1928</v>
      </c>
      <c r="AN130" s="42">
        <f t="shared" si="46"/>
        <v>1190</v>
      </c>
      <c r="AO130" s="42">
        <f t="shared" si="46"/>
        <v>1160</v>
      </c>
      <c r="AP130" s="42">
        <f t="shared" si="46"/>
        <v>1272</v>
      </c>
      <c r="AQ130" s="53">
        <f>AVERAGE(AL130:AP130)</f>
        <v>1556</v>
      </c>
      <c r="AR130" s="25" t="s">
        <v>72</v>
      </c>
      <c r="AT130" s="132">
        <f>AU130-AY130</f>
        <v>28281</v>
      </c>
      <c r="AU130" s="42">
        <v>75298</v>
      </c>
      <c r="AV130" s="42">
        <v>71497</v>
      </c>
      <c r="AW130" s="42">
        <v>63126</v>
      </c>
      <c r="AX130" s="42">
        <v>49783</v>
      </c>
      <c r="AY130" s="42">
        <v>47017</v>
      </c>
      <c r="AZ130" s="53">
        <f>AVERAGE(AU130:AY130)</f>
        <v>61344.2</v>
      </c>
    </row>
    <row r="131" spans="8:52" ht="12">
      <c r="H131" s="25" t="s">
        <v>121</v>
      </c>
      <c r="Q131" s="25" t="s">
        <v>35</v>
      </c>
      <c r="S131" s="132">
        <f>T131-X131</f>
        <v>2556</v>
      </c>
      <c r="T131" s="42">
        <f>37349-T132</f>
        <v>21716</v>
      </c>
      <c r="U131" s="42">
        <f>34995-U132</f>
        <v>20790</v>
      </c>
      <c r="V131" s="42">
        <f>32293-V132</f>
        <v>19264</v>
      </c>
      <c r="W131" s="42">
        <f>31416-W132</f>
        <v>20284</v>
      </c>
      <c r="X131" s="42">
        <f>28603-X132</f>
        <v>19160</v>
      </c>
      <c r="Y131" s="53">
        <f>AVERAGE(T131:X131)</f>
        <v>20242.8</v>
      </c>
      <c r="Z131" s="25" t="s">
        <v>35</v>
      </c>
      <c r="AB131" s="132">
        <f>AC131-AG131</f>
        <v>1253</v>
      </c>
      <c r="AC131" s="42">
        <v>2409</v>
      </c>
      <c r="AD131" s="42">
        <v>2452</v>
      </c>
      <c r="AE131" s="42">
        <f>1896+AE130</f>
        <v>2491</v>
      </c>
      <c r="AF131" s="42">
        <f>1856+AF130</f>
        <v>2436</v>
      </c>
      <c r="AG131" s="42">
        <f>520+AG130</f>
        <v>1156</v>
      </c>
      <c r="AH131" s="53">
        <f>AVERAGE(AC131:AG131)</f>
        <v>2188.8</v>
      </c>
      <c r="AI131" s="25" t="s">
        <v>35</v>
      </c>
      <c r="AJ131" s="25"/>
      <c r="AK131" s="132">
        <f>AL131-AP131</f>
        <v>2506</v>
      </c>
      <c r="AL131" s="42">
        <f t="shared" si="46"/>
        <v>4818</v>
      </c>
      <c r="AM131" s="42">
        <f t="shared" si="46"/>
        <v>4904</v>
      </c>
      <c r="AN131" s="42">
        <f t="shared" si="46"/>
        <v>4982</v>
      </c>
      <c r="AO131" s="42">
        <f t="shared" si="46"/>
        <v>4872</v>
      </c>
      <c r="AP131" s="42">
        <f t="shared" si="46"/>
        <v>2312</v>
      </c>
      <c r="AQ131" s="53">
        <f>AVERAGE(AL131:AP131)</f>
        <v>4377.6</v>
      </c>
      <c r="AR131" s="25" t="s">
        <v>35</v>
      </c>
      <c r="AT131" s="132">
        <f>AU131-AY131</f>
        <v>41153</v>
      </c>
      <c r="AU131" s="42">
        <v>132136</v>
      </c>
      <c r="AV131" s="42">
        <v>126149</v>
      </c>
      <c r="AW131" s="42">
        <v>116395</v>
      </c>
      <c r="AX131" s="42">
        <v>102227</v>
      </c>
      <c r="AY131" s="42">
        <v>90983</v>
      </c>
      <c r="AZ131" s="53">
        <f>AVERAGE(AU131:AY131)</f>
        <v>113578</v>
      </c>
    </row>
    <row r="132" spans="17:52" ht="12">
      <c r="Q132" s="25" t="s">
        <v>100</v>
      </c>
      <c r="S132" s="132">
        <f>T132-X132</f>
        <v>6190</v>
      </c>
      <c r="T132" s="42">
        <v>15633</v>
      </c>
      <c r="U132" s="42">
        <v>14205</v>
      </c>
      <c r="V132" s="42">
        <v>13029</v>
      </c>
      <c r="W132" s="42">
        <v>11132</v>
      </c>
      <c r="X132" s="42">
        <v>9443</v>
      </c>
      <c r="Y132" s="53">
        <f>AVERAGE(T132:X132)</f>
        <v>12688.4</v>
      </c>
      <c r="Z132" s="25" t="s">
        <v>100</v>
      </c>
      <c r="AB132" s="132">
        <f>AC132-AG132</f>
        <v>803</v>
      </c>
      <c r="AC132" s="42">
        <v>1363</v>
      </c>
      <c r="AD132" s="42">
        <v>1484</v>
      </c>
      <c r="AE132" s="42">
        <v>1541</v>
      </c>
      <c r="AF132" s="42">
        <v>1238</v>
      </c>
      <c r="AG132" s="42">
        <v>560</v>
      </c>
      <c r="AH132" s="53">
        <f>AVERAGE(AC132:AG132)</f>
        <v>1237.2</v>
      </c>
      <c r="AI132" s="25" t="s">
        <v>100</v>
      </c>
      <c r="AJ132" s="25"/>
      <c r="AK132" s="132">
        <f>AL132-AP132</f>
        <v>1606</v>
      </c>
      <c r="AL132" s="42">
        <f t="shared" si="46"/>
        <v>2726</v>
      </c>
      <c r="AM132" s="42">
        <f t="shared" si="46"/>
        <v>2968</v>
      </c>
      <c r="AN132" s="42">
        <f t="shared" si="46"/>
        <v>3082</v>
      </c>
      <c r="AO132" s="42">
        <f t="shared" si="46"/>
        <v>2476</v>
      </c>
      <c r="AP132" s="42">
        <f t="shared" si="46"/>
        <v>1120</v>
      </c>
      <c r="AQ132" s="53">
        <f>AVERAGE(AL132:AP132)</f>
        <v>2474.4</v>
      </c>
      <c r="AR132" s="25" t="s">
        <v>100</v>
      </c>
      <c r="AT132" s="132">
        <f>AU132-AY132</f>
        <v>20993</v>
      </c>
      <c r="AU132" s="42">
        <v>85465</v>
      </c>
      <c r="AV132" s="42">
        <v>80765</v>
      </c>
      <c r="AW132" s="42">
        <v>78235</v>
      </c>
      <c r="AX132" s="42">
        <v>70264</v>
      </c>
      <c r="AY132" s="42">
        <v>64472</v>
      </c>
      <c r="AZ132" s="53">
        <f>AVERAGE(AU132:AY132)</f>
        <v>75840.2</v>
      </c>
    </row>
    <row r="133" spans="8:52" ht="12">
      <c r="H133" s="25" t="s">
        <v>122</v>
      </c>
      <c r="Q133" s="22"/>
      <c r="R133" s="22"/>
      <c r="S133" s="22"/>
      <c r="T133" s="42"/>
      <c r="U133" s="42"/>
      <c r="V133" s="42"/>
      <c r="W133" s="42"/>
      <c r="X133" s="42"/>
      <c r="Y133" s="53"/>
      <c r="Z133" s="22"/>
      <c r="AA133" s="22"/>
      <c r="AB133" s="22"/>
      <c r="AC133" s="42"/>
      <c r="AD133" s="42"/>
      <c r="AE133" s="42"/>
      <c r="AF133" s="42"/>
      <c r="AG133" s="42"/>
      <c r="AH133" s="53"/>
      <c r="AI133" s="22"/>
      <c r="AJ133" s="22"/>
      <c r="AK133" s="22"/>
      <c r="AL133" s="42"/>
      <c r="AM133" s="42"/>
      <c r="AN133" s="42"/>
      <c r="AO133" s="42"/>
      <c r="AP133" s="42"/>
      <c r="AQ133" s="53"/>
      <c r="AR133" s="22"/>
      <c r="AS133" s="22"/>
      <c r="AT133" s="22"/>
      <c r="AU133" s="42"/>
      <c r="AV133" s="42"/>
      <c r="AW133" s="42"/>
      <c r="AX133" s="42"/>
      <c r="AY133" s="42"/>
      <c r="AZ133" s="53"/>
    </row>
    <row r="134" spans="17:52" ht="12">
      <c r="Q134" s="25" t="s">
        <v>73</v>
      </c>
      <c r="S134" s="132">
        <f aca="true" t="shared" si="47" ref="S134:S139">T134-X134</f>
        <v>22080</v>
      </c>
      <c r="T134" s="42">
        <v>59490</v>
      </c>
      <c r="U134" s="42">
        <v>52620</v>
      </c>
      <c r="V134" s="42">
        <v>46839</v>
      </c>
      <c r="W134" s="42">
        <v>42025</v>
      </c>
      <c r="X134" s="42">
        <v>37410</v>
      </c>
      <c r="Y134" s="53">
        <f aca="true" t="shared" si="48" ref="Y134:Y139">AVERAGE(T134:X134)</f>
        <v>47676.8</v>
      </c>
      <c r="Z134" s="25" t="s">
        <v>73</v>
      </c>
      <c r="AB134" s="132">
        <f aca="true" t="shared" si="49" ref="AB134:AB139">AC134-AG134</f>
        <v>-1044</v>
      </c>
      <c r="AC134" s="42">
        <v>2180</v>
      </c>
      <c r="AD134" s="42">
        <v>3005</v>
      </c>
      <c r="AE134" s="42">
        <v>2733</v>
      </c>
      <c r="AF134" s="42">
        <v>3056</v>
      </c>
      <c r="AG134" s="42">
        <v>3224</v>
      </c>
      <c r="AH134" s="53">
        <f aca="true" t="shared" si="50" ref="AH134:AH139">AVERAGE(AC134:AG134)</f>
        <v>2839.6</v>
      </c>
      <c r="AI134" s="25" t="s">
        <v>73</v>
      </c>
      <c r="AJ134" s="25"/>
      <c r="AK134" s="132">
        <f aca="true" t="shared" si="51" ref="AK134:AK139">AL134-AP134</f>
        <v>-2088</v>
      </c>
      <c r="AL134" s="42">
        <f aca="true" t="shared" si="52" ref="AL134:AP139">2*AC134</f>
        <v>4360</v>
      </c>
      <c r="AM134" s="42">
        <f t="shared" si="52"/>
        <v>6010</v>
      </c>
      <c r="AN134" s="42">
        <f t="shared" si="52"/>
        <v>5466</v>
      </c>
      <c r="AO134" s="42">
        <f t="shared" si="52"/>
        <v>6112</v>
      </c>
      <c r="AP134" s="42">
        <f t="shared" si="52"/>
        <v>6448</v>
      </c>
      <c r="AQ134" s="53">
        <f aca="true" t="shared" si="53" ref="AQ134:AQ139">AVERAGE(AL134:AP134)</f>
        <v>5679.2</v>
      </c>
      <c r="AR134" s="25" t="s">
        <v>73</v>
      </c>
      <c r="AT134" s="132">
        <f aca="true" t="shared" si="54" ref="AT134:AT139">AU134-AY134</f>
        <v>119323</v>
      </c>
      <c r="AU134" s="42">
        <v>270602</v>
      </c>
      <c r="AV134" s="42">
        <v>243948</v>
      </c>
      <c r="AW134" s="42">
        <v>194919</v>
      </c>
      <c r="AX134" s="42">
        <v>166613</v>
      </c>
      <c r="AY134" s="42">
        <v>151279</v>
      </c>
      <c r="AZ134" s="53">
        <f aca="true" t="shared" si="55" ref="AZ134:AZ139">AVERAGE(AU134:AY134)</f>
        <v>205472.2</v>
      </c>
    </row>
    <row r="135" spans="17:52" ht="12">
      <c r="Q135" s="25" t="s">
        <v>74</v>
      </c>
      <c r="S135" s="132">
        <f t="shared" si="47"/>
        <v>13901</v>
      </c>
      <c r="T135" s="42">
        <v>39399</v>
      </c>
      <c r="U135" s="42">
        <v>34927</v>
      </c>
      <c r="V135" s="42">
        <v>31445</v>
      </c>
      <c r="W135" s="42">
        <v>28389</v>
      </c>
      <c r="X135" s="42">
        <v>25498</v>
      </c>
      <c r="Y135" s="53">
        <f t="shared" si="48"/>
        <v>31931.6</v>
      </c>
      <c r="Z135" s="25" t="s">
        <v>74</v>
      </c>
      <c r="AB135" s="132">
        <f t="shared" si="49"/>
        <v>-1725</v>
      </c>
      <c r="AC135" s="42">
        <v>1165</v>
      </c>
      <c r="AD135" s="42">
        <v>1815</v>
      </c>
      <c r="AE135" s="42">
        <f>AE134-AE136</f>
        <v>2441</v>
      </c>
      <c r="AF135" s="42">
        <f>AF134-AF136</f>
        <v>2676</v>
      </c>
      <c r="AG135" s="42">
        <f>AG134-AG136</f>
        <v>2890</v>
      </c>
      <c r="AH135" s="53">
        <f t="shared" si="50"/>
        <v>2197.4</v>
      </c>
      <c r="AI135" s="25" t="s">
        <v>74</v>
      </c>
      <c r="AJ135" s="25"/>
      <c r="AK135" s="132">
        <f t="shared" si="51"/>
        <v>-3450</v>
      </c>
      <c r="AL135" s="42">
        <f t="shared" si="52"/>
        <v>2330</v>
      </c>
      <c r="AM135" s="42">
        <f t="shared" si="52"/>
        <v>3630</v>
      </c>
      <c r="AN135" s="42">
        <f t="shared" si="52"/>
        <v>4882</v>
      </c>
      <c r="AO135" s="42">
        <f t="shared" si="52"/>
        <v>5352</v>
      </c>
      <c r="AP135" s="42">
        <f t="shared" si="52"/>
        <v>5780</v>
      </c>
      <c r="AQ135" s="53">
        <f t="shared" si="53"/>
        <v>4394.8</v>
      </c>
      <c r="AR135" s="25" t="s">
        <v>74</v>
      </c>
      <c r="AT135" s="132">
        <f t="shared" si="54"/>
        <v>96494</v>
      </c>
      <c r="AU135" s="42">
        <f>AU134-AU136</f>
        <v>235444</v>
      </c>
      <c r="AV135" s="42">
        <f>AV134-AV136</f>
        <v>211266</v>
      </c>
      <c r="AW135" s="42">
        <f>AW134-AW136</f>
        <v>169173</v>
      </c>
      <c r="AX135" s="42">
        <f>AX134-AX136</f>
        <v>147837</v>
      </c>
      <c r="AY135" s="42">
        <f>AY134-AY136</f>
        <v>138950</v>
      </c>
      <c r="AZ135" s="53">
        <f t="shared" si="55"/>
        <v>180534</v>
      </c>
    </row>
    <row r="136" spans="17:52" ht="12">
      <c r="Q136" s="25" t="s">
        <v>116</v>
      </c>
      <c r="S136" s="132">
        <f t="shared" si="47"/>
        <v>8179</v>
      </c>
      <c r="T136" s="42">
        <f>T134-T135</f>
        <v>20091</v>
      </c>
      <c r="U136" s="42">
        <f>U134-U135</f>
        <v>17693</v>
      </c>
      <c r="V136" s="42">
        <f>V134-V135</f>
        <v>15394</v>
      </c>
      <c r="W136" s="42">
        <f>W134-W135</f>
        <v>13636</v>
      </c>
      <c r="X136" s="42">
        <f>X134-X135</f>
        <v>11912</v>
      </c>
      <c r="Y136" s="53">
        <f t="shared" si="48"/>
        <v>15745.2</v>
      </c>
      <c r="Z136" s="25" t="s">
        <v>116</v>
      </c>
      <c r="AB136" s="132">
        <f t="shared" si="49"/>
        <v>681</v>
      </c>
      <c r="AC136" s="42">
        <f>AC134-AC135</f>
        <v>1015</v>
      </c>
      <c r="AD136" s="42">
        <f>AD134-AD135</f>
        <v>1190</v>
      </c>
      <c r="AE136" s="42">
        <v>292</v>
      </c>
      <c r="AF136" s="42">
        <v>380</v>
      </c>
      <c r="AG136" s="42">
        <v>334</v>
      </c>
      <c r="AH136" s="53">
        <f t="shared" si="50"/>
        <v>642.2</v>
      </c>
      <c r="AI136" s="25" t="s">
        <v>116</v>
      </c>
      <c r="AJ136" s="25"/>
      <c r="AK136" s="132">
        <f t="shared" si="51"/>
        <v>1362</v>
      </c>
      <c r="AL136" s="42">
        <f t="shared" si="52"/>
        <v>2030</v>
      </c>
      <c r="AM136" s="42">
        <f t="shared" si="52"/>
        <v>2380</v>
      </c>
      <c r="AN136" s="42">
        <f t="shared" si="52"/>
        <v>584</v>
      </c>
      <c r="AO136" s="42">
        <f t="shared" si="52"/>
        <v>760</v>
      </c>
      <c r="AP136" s="42">
        <f t="shared" si="52"/>
        <v>668</v>
      </c>
      <c r="AQ136" s="53">
        <f t="shared" si="53"/>
        <v>1284.4</v>
      </c>
      <c r="AR136" s="25" t="s">
        <v>116</v>
      </c>
      <c r="AT136" s="132">
        <f t="shared" si="54"/>
        <v>22829</v>
      </c>
      <c r="AU136" s="42">
        <v>35158</v>
      </c>
      <c r="AV136" s="42">
        <v>32682</v>
      </c>
      <c r="AW136" s="42">
        <v>25746</v>
      </c>
      <c r="AX136" s="42">
        <v>18776</v>
      </c>
      <c r="AY136" s="42">
        <v>12329</v>
      </c>
      <c r="AZ136" s="53">
        <f t="shared" si="55"/>
        <v>24938.2</v>
      </c>
    </row>
    <row r="137" spans="17:52" ht="12">
      <c r="Q137" s="25" t="s">
        <v>82</v>
      </c>
      <c r="S137" s="132">
        <f t="shared" si="47"/>
        <v>58</v>
      </c>
      <c r="T137" s="42">
        <v>584</v>
      </c>
      <c r="U137" s="42">
        <v>468</v>
      </c>
      <c r="V137" s="42">
        <v>480</v>
      </c>
      <c r="W137" s="42">
        <v>542</v>
      </c>
      <c r="X137" s="42">
        <v>526</v>
      </c>
      <c r="Y137" s="53">
        <f>AVERAGE(T137:X137)</f>
        <v>520</v>
      </c>
      <c r="Z137" s="25" t="s">
        <v>82</v>
      </c>
      <c r="AB137" s="132">
        <f t="shared" si="49"/>
        <v>-1</v>
      </c>
      <c r="AC137" s="42">
        <v>57</v>
      </c>
      <c r="AD137" s="42">
        <v>38</v>
      </c>
      <c r="AE137" s="42">
        <v>15</v>
      </c>
      <c r="AF137" s="42">
        <v>38</v>
      </c>
      <c r="AG137" s="42">
        <v>58</v>
      </c>
      <c r="AH137" s="53">
        <f t="shared" si="50"/>
        <v>41.2</v>
      </c>
      <c r="AI137" s="25" t="s">
        <v>82</v>
      </c>
      <c r="AJ137" s="25"/>
      <c r="AK137" s="132">
        <f t="shared" si="51"/>
        <v>-2</v>
      </c>
      <c r="AL137" s="42">
        <f t="shared" si="52"/>
        <v>114</v>
      </c>
      <c r="AM137" s="42">
        <f t="shared" si="52"/>
        <v>76</v>
      </c>
      <c r="AN137" s="42">
        <f t="shared" si="52"/>
        <v>30</v>
      </c>
      <c r="AO137" s="42">
        <f t="shared" si="52"/>
        <v>76</v>
      </c>
      <c r="AP137" s="42">
        <f t="shared" si="52"/>
        <v>116</v>
      </c>
      <c r="AQ137" s="53">
        <f t="shared" si="53"/>
        <v>82.4</v>
      </c>
      <c r="AR137" s="25" t="s">
        <v>82</v>
      </c>
      <c r="AT137" s="132">
        <f t="shared" si="54"/>
        <v>38</v>
      </c>
      <c r="AU137" s="42">
        <v>1242</v>
      </c>
      <c r="AV137" s="42">
        <v>1127</v>
      </c>
      <c r="AW137" s="42">
        <v>698</v>
      </c>
      <c r="AX137" s="42">
        <v>1007</v>
      </c>
      <c r="AY137" s="42">
        <v>1204</v>
      </c>
      <c r="AZ137" s="53">
        <f t="shared" si="55"/>
        <v>1055.6</v>
      </c>
    </row>
    <row r="138" spans="8:52" ht="12">
      <c r="H138" s="22" t="s">
        <v>152</v>
      </c>
      <c r="Q138" s="25" t="s">
        <v>83</v>
      </c>
      <c r="S138" s="132">
        <f t="shared" si="47"/>
        <v>970</v>
      </c>
      <c r="T138" s="42">
        <v>1823</v>
      </c>
      <c r="U138" s="42">
        <v>1448</v>
      </c>
      <c r="V138" s="42">
        <v>1742</v>
      </c>
      <c r="W138" s="42">
        <v>781</v>
      </c>
      <c r="X138" s="42">
        <v>853</v>
      </c>
      <c r="Y138" s="53">
        <f t="shared" si="48"/>
        <v>1329.4</v>
      </c>
      <c r="Z138" s="25" t="s">
        <v>83</v>
      </c>
      <c r="AB138" s="132">
        <f t="shared" si="49"/>
        <v>-26</v>
      </c>
      <c r="AC138" s="42">
        <v>65</v>
      </c>
      <c r="AD138" s="42">
        <v>94</v>
      </c>
      <c r="AE138" s="42">
        <v>87</v>
      </c>
      <c r="AF138" s="42">
        <v>105</v>
      </c>
      <c r="AG138" s="42">
        <v>91</v>
      </c>
      <c r="AH138" s="53">
        <f t="shared" si="50"/>
        <v>88.4</v>
      </c>
      <c r="AI138" s="25" t="s">
        <v>83</v>
      </c>
      <c r="AJ138" s="25"/>
      <c r="AK138" s="132">
        <f t="shared" si="51"/>
        <v>-52</v>
      </c>
      <c r="AL138" s="42">
        <f t="shared" si="52"/>
        <v>130</v>
      </c>
      <c r="AM138" s="42">
        <f t="shared" si="52"/>
        <v>188</v>
      </c>
      <c r="AN138" s="42">
        <f t="shared" si="52"/>
        <v>174</v>
      </c>
      <c r="AO138" s="42">
        <f t="shared" si="52"/>
        <v>210</v>
      </c>
      <c r="AP138" s="42">
        <f t="shared" si="52"/>
        <v>182</v>
      </c>
      <c r="AQ138" s="53">
        <f t="shared" si="53"/>
        <v>176.8</v>
      </c>
      <c r="AR138" s="25" t="s">
        <v>83</v>
      </c>
      <c r="AT138" s="132">
        <f t="shared" si="54"/>
        <v>10639</v>
      </c>
      <c r="AU138" s="42">
        <v>13733</v>
      </c>
      <c r="AV138" s="42">
        <v>9028</v>
      </c>
      <c r="AW138" s="42">
        <v>6388</v>
      </c>
      <c r="AX138" s="42">
        <v>4804</v>
      </c>
      <c r="AY138" s="42">
        <v>3094</v>
      </c>
      <c r="AZ138" s="53">
        <f t="shared" si="55"/>
        <v>7409.4</v>
      </c>
    </row>
    <row r="139" spans="17:52" ht="12">
      <c r="Q139" s="25" t="s">
        <v>98</v>
      </c>
      <c r="S139" s="132">
        <f t="shared" si="47"/>
        <v>1133</v>
      </c>
      <c r="T139" s="42">
        <v>2787</v>
      </c>
      <c r="U139" s="42">
        <v>2408</v>
      </c>
      <c r="V139" s="42">
        <v>3198</v>
      </c>
      <c r="W139" s="42">
        <v>1809</v>
      </c>
      <c r="X139" s="42">
        <v>1654</v>
      </c>
      <c r="Y139" s="53">
        <f t="shared" si="48"/>
        <v>2371.2</v>
      </c>
      <c r="Z139" s="25" t="s">
        <v>98</v>
      </c>
      <c r="AB139" s="132">
        <f t="shared" si="49"/>
        <v>-162</v>
      </c>
      <c r="AC139" s="42">
        <v>24</v>
      </c>
      <c r="AD139" s="42">
        <v>272</v>
      </c>
      <c r="AE139" s="42">
        <v>213</v>
      </c>
      <c r="AF139" s="42">
        <v>112</v>
      </c>
      <c r="AG139" s="42">
        <v>186</v>
      </c>
      <c r="AH139" s="53">
        <f t="shared" si="50"/>
        <v>161.4</v>
      </c>
      <c r="AI139" s="25" t="s">
        <v>98</v>
      </c>
      <c r="AJ139" s="25"/>
      <c r="AK139" s="132">
        <f t="shared" si="51"/>
        <v>-324</v>
      </c>
      <c r="AL139" s="42">
        <f t="shared" si="52"/>
        <v>48</v>
      </c>
      <c r="AM139" s="42">
        <f t="shared" si="52"/>
        <v>544</v>
      </c>
      <c r="AN139" s="42">
        <f t="shared" si="52"/>
        <v>426</v>
      </c>
      <c r="AO139" s="42">
        <f t="shared" si="52"/>
        <v>224</v>
      </c>
      <c r="AP139" s="42">
        <f t="shared" si="52"/>
        <v>372</v>
      </c>
      <c r="AQ139" s="53">
        <f t="shared" si="53"/>
        <v>322.8</v>
      </c>
      <c r="AR139" s="25" t="s">
        <v>98</v>
      </c>
      <c r="AT139" s="132">
        <f t="shared" si="54"/>
        <v>15414</v>
      </c>
      <c r="AU139" s="42">
        <v>22286</v>
      </c>
      <c r="AV139" s="42">
        <v>22632</v>
      </c>
      <c r="AW139" s="42">
        <v>17262</v>
      </c>
      <c r="AX139" s="42">
        <v>12618</v>
      </c>
      <c r="AY139" s="42">
        <v>6872</v>
      </c>
      <c r="AZ139" s="53">
        <f t="shared" si="55"/>
        <v>16334</v>
      </c>
    </row>
    <row r="140" spans="17:52" ht="12">
      <c r="Q140" s="22"/>
      <c r="R140" s="22"/>
      <c r="S140" s="22"/>
      <c r="T140" s="42"/>
      <c r="U140" s="42"/>
      <c r="V140" s="42"/>
      <c r="W140" s="42"/>
      <c r="X140" s="42"/>
      <c r="Y140" s="53"/>
      <c r="Z140" s="22"/>
      <c r="AA140" s="22"/>
      <c r="AB140" s="22"/>
      <c r="AC140" s="42"/>
      <c r="AD140" s="42"/>
      <c r="AE140" s="42"/>
      <c r="AF140" s="42"/>
      <c r="AG140" s="42"/>
      <c r="AH140" s="53"/>
      <c r="AI140" s="22"/>
      <c r="AJ140" s="22"/>
      <c r="AK140" s="22"/>
      <c r="AL140" s="42"/>
      <c r="AM140" s="42"/>
      <c r="AN140" s="42"/>
      <c r="AO140" s="42"/>
      <c r="AP140" s="42"/>
      <c r="AQ140" s="53"/>
      <c r="AR140" s="22"/>
      <c r="AS140" s="22"/>
      <c r="AT140" s="22"/>
      <c r="AU140" s="42"/>
      <c r="AV140" s="42"/>
      <c r="AW140" s="42"/>
      <c r="AX140" s="42"/>
      <c r="AY140" s="42"/>
      <c r="AZ140" s="53"/>
    </row>
    <row r="141" spans="17:52" ht="12">
      <c r="Q141" s="25" t="s">
        <v>60</v>
      </c>
      <c r="S141" s="28" t="s">
        <v>17</v>
      </c>
      <c r="T141" s="28" t="s">
        <v>38</v>
      </c>
      <c r="U141" s="28" t="s">
        <v>38</v>
      </c>
      <c r="V141" s="28" t="s">
        <v>38</v>
      </c>
      <c r="W141" s="28" t="s">
        <v>38</v>
      </c>
      <c r="X141" s="28" t="s">
        <v>38</v>
      </c>
      <c r="Y141" s="143" t="s">
        <v>38</v>
      </c>
      <c r="AH141" s="137"/>
      <c r="AI141" s="25" t="s">
        <v>60</v>
      </c>
      <c r="AJ141" s="25"/>
      <c r="AK141" s="28" t="s">
        <v>17</v>
      </c>
      <c r="AL141" s="28" t="s">
        <v>38</v>
      </c>
      <c r="AM141" s="28" t="s">
        <v>38</v>
      </c>
      <c r="AN141" s="28" t="s">
        <v>38</v>
      </c>
      <c r="AO141" s="28" t="s">
        <v>38</v>
      </c>
      <c r="AP141" s="28" t="s">
        <v>38</v>
      </c>
      <c r="AQ141" s="143" t="s">
        <v>38</v>
      </c>
      <c r="AR141" s="25" t="s">
        <v>60</v>
      </c>
      <c r="AT141" s="28" t="s">
        <v>17</v>
      </c>
      <c r="AU141" s="28" t="s">
        <v>38</v>
      </c>
      <c r="AV141" s="28" t="s">
        <v>38</v>
      </c>
      <c r="AW141" s="28" t="s">
        <v>38</v>
      </c>
      <c r="AX141" s="28" t="s">
        <v>38</v>
      </c>
      <c r="AY141" s="28" t="s">
        <v>38</v>
      </c>
      <c r="AZ141" s="143" t="s">
        <v>38</v>
      </c>
    </row>
    <row r="142" spans="18:52" ht="12">
      <c r="R142" s="25" t="s">
        <v>61</v>
      </c>
      <c r="S142" s="44">
        <f>T142-X142</f>
        <v>1.44</v>
      </c>
      <c r="T142" s="25">
        <v>3.23</v>
      </c>
      <c r="U142" s="25">
        <v>2.73</v>
      </c>
      <c r="V142" s="25">
        <v>3.54</v>
      </c>
      <c r="W142" s="25">
        <v>1.99</v>
      </c>
      <c r="X142" s="25">
        <v>1.79</v>
      </c>
      <c r="Y142" s="140">
        <f>AVERAGE(T142:X142)</f>
        <v>2.656</v>
      </c>
      <c r="AC142" s="42"/>
      <c r="AD142" s="42"/>
      <c r="AE142" s="42"/>
      <c r="AF142" s="42"/>
      <c r="AG142" s="42"/>
      <c r="AH142" s="53"/>
      <c r="AI142" s="25"/>
      <c r="AJ142" s="25" t="s">
        <v>61</v>
      </c>
      <c r="AK142" s="44">
        <f>AL142-AP142</f>
        <v>-0.5800000000000001</v>
      </c>
      <c r="AL142" s="33">
        <f aca="true" t="shared" si="56" ref="AL142:AP143">2*AC144</f>
        <v>0.08</v>
      </c>
      <c r="AM142" s="33">
        <f t="shared" si="56"/>
        <v>0.96</v>
      </c>
      <c r="AN142" s="33">
        <f t="shared" si="56"/>
        <v>0.76</v>
      </c>
      <c r="AO142" s="33">
        <f t="shared" si="56"/>
        <v>0.4</v>
      </c>
      <c r="AP142" s="33">
        <f t="shared" si="56"/>
        <v>0.66</v>
      </c>
      <c r="AQ142" s="140">
        <f>AVERAGE(AL142:AP142)</f>
        <v>0.5720000000000001</v>
      </c>
      <c r="AS142" s="25" t="s">
        <v>61</v>
      </c>
      <c r="AT142" s="44">
        <f>AU142-AY142</f>
        <v>0.8</v>
      </c>
      <c r="AU142" s="54">
        <v>1.1</v>
      </c>
      <c r="AV142" s="54">
        <v>1.06</v>
      </c>
      <c r="AW142" s="54">
        <v>0.78</v>
      </c>
      <c r="AX142" s="54">
        <v>0.56</v>
      </c>
      <c r="AY142" s="54">
        <v>0.3</v>
      </c>
      <c r="AZ142" s="140">
        <f>AVERAGE(AU142:AY142)</f>
        <v>0.76</v>
      </c>
    </row>
    <row r="143" spans="18:52" ht="12">
      <c r="R143" s="25" t="s">
        <v>62</v>
      </c>
      <c r="S143" s="44">
        <f>T143-X143</f>
        <v>1.43</v>
      </c>
      <c r="T143" s="25">
        <v>3.21</v>
      </c>
      <c r="U143" s="25">
        <v>2.71</v>
      </c>
      <c r="V143" s="25">
        <v>3.51</v>
      </c>
      <c r="W143" s="25">
        <v>1.97</v>
      </c>
      <c r="X143" s="25">
        <v>1.78</v>
      </c>
      <c r="Y143" s="140">
        <f>AVERAGE(T143:X143)</f>
        <v>2.636</v>
      </c>
      <c r="Z143" s="25" t="s">
        <v>60</v>
      </c>
      <c r="AB143" s="28" t="s">
        <v>17</v>
      </c>
      <c r="AC143" s="28" t="s">
        <v>68</v>
      </c>
      <c r="AD143" s="28" t="s">
        <v>68</v>
      </c>
      <c r="AE143" s="28" t="s">
        <v>68</v>
      </c>
      <c r="AF143" s="28" t="s">
        <v>68</v>
      </c>
      <c r="AG143" s="28" t="s">
        <v>68</v>
      </c>
      <c r="AH143" s="138" t="s">
        <v>68</v>
      </c>
      <c r="AI143" s="25"/>
      <c r="AJ143" s="25" t="s">
        <v>62</v>
      </c>
      <c r="AK143" s="44">
        <f>AL143-AP143</f>
        <v>-0.5800000000000001</v>
      </c>
      <c r="AL143" s="33">
        <f t="shared" si="56"/>
        <v>0.08</v>
      </c>
      <c r="AM143" s="33">
        <f t="shared" si="56"/>
        <v>0.96</v>
      </c>
      <c r="AN143" s="33">
        <f t="shared" si="56"/>
        <v>0.76</v>
      </c>
      <c r="AO143" s="33">
        <f t="shared" si="56"/>
        <v>0.4</v>
      </c>
      <c r="AP143" s="33">
        <f t="shared" si="56"/>
        <v>0.66</v>
      </c>
      <c r="AQ143" s="140">
        <f>AVERAGE(AL143:AP143)</f>
        <v>0.5720000000000001</v>
      </c>
      <c r="AS143" s="25" t="s">
        <v>62</v>
      </c>
      <c r="AT143" s="44">
        <f>AU143-AY143</f>
        <v>0.79</v>
      </c>
      <c r="AU143" s="54">
        <v>1.09</v>
      </c>
      <c r="AV143" s="54">
        <v>1.05</v>
      </c>
      <c r="AW143" s="54">
        <v>0.77</v>
      </c>
      <c r="AX143" s="54">
        <v>0.56</v>
      </c>
      <c r="AY143" s="54">
        <v>0.3</v>
      </c>
      <c r="AZ143" s="140">
        <f>AVERAGE(AU143:AY143)</f>
        <v>0.754</v>
      </c>
    </row>
    <row r="144" spans="8:52" ht="12">
      <c r="H144" s="25" t="s">
        <v>150</v>
      </c>
      <c r="AA144" s="25" t="s">
        <v>61</v>
      </c>
      <c r="AB144" s="44">
        <f>AC144-AG144</f>
        <v>-0.29000000000000004</v>
      </c>
      <c r="AC144" s="33">
        <v>0.04</v>
      </c>
      <c r="AD144" s="33">
        <v>0.48</v>
      </c>
      <c r="AE144" s="33">
        <v>0.38</v>
      </c>
      <c r="AF144" s="33">
        <v>0.2</v>
      </c>
      <c r="AG144" s="33">
        <v>0.33</v>
      </c>
      <c r="AH144" s="140">
        <f>AVERAGE(AC144:AG144)</f>
        <v>0.28600000000000003</v>
      </c>
      <c r="AI144" s="25"/>
      <c r="AJ144" s="25"/>
      <c r="AK144" s="25"/>
      <c r="AL144" s="25"/>
      <c r="AM144" s="25"/>
      <c r="AN144" s="25"/>
      <c r="AO144" s="25"/>
      <c r="AP144" s="25"/>
      <c r="AQ144" s="137"/>
      <c r="AZ144" s="137"/>
    </row>
    <row r="145" spans="17:52" ht="12">
      <c r="Q145" s="22" t="s">
        <v>77</v>
      </c>
      <c r="T145" s="28" t="s">
        <v>71</v>
      </c>
      <c r="U145" s="28" t="s">
        <v>71</v>
      </c>
      <c r="V145" s="28" t="s">
        <v>71</v>
      </c>
      <c r="W145" s="28" t="s">
        <v>71</v>
      </c>
      <c r="X145" s="28" t="s">
        <v>71</v>
      </c>
      <c r="Y145" s="138" t="s">
        <v>71</v>
      </c>
      <c r="AA145" s="25" t="s">
        <v>62</v>
      </c>
      <c r="AB145" s="44">
        <f>AC145-AG145</f>
        <v>-0.29000000000000004</v>
      </c>
      <c r="AC145" s="33">
        <v>0.04</v>
      </c>
      <c r="AD145" s="33">
        <v>0.48</v>
      </c>
      <c r="AE145" s="33">
        <v>0.38</v>
      </c>
      <c r="AF145" s="33">
        <v>0.2</v>
      </c>
      <c r="AG145" s="33">
        <v>0.33</v>
      </c>
      <c r="AH145" s="140">
        <f>AVERAGE(AC145:AG145)</f>
        <v>0.28600000000000003</v>
      </c>
      <c r="AI145" s="22" t="s">
        <v>77</v>
      </c>
      <c r="AJ145" s="25"/>
      <c r="AK145" s="25"/>
      <c r="AL145" s="28" t="s">
        <v>71</v>
      </c>
      <c r="AM145" s="28" t="s">
        <v>71</v>
      </c>
      <c r="AN145" s="28" t="s">
        <v>71</v>
      </c>
      <c r="AO145" s="28" t="s">
        <v>71</v>
      </c>
      <c r="AP145" s="28" t="s">
        <v>71</v>
      </c>
      <c r="AQ145" s="138" t="s">
        <v>71</v>
      </c>
      <c r="AR145" s="22" t="s">
        <v>77</v>
      </c>
      <c r="AU145" s="28" t="s">
        <v>71</v>
      </c>
      <c r="AV145" s="28" t="s">
        <v>71</v>
      </c>
      <c r="AW145" s="28" t="s">
        <v>71</v>
      </c>
      <c r="AX145" s="28" t="s">
        <v>71</v>
      </c>
      <c r="AY145" s="28" t="s">
        <v>71</v>
      </c>
      <c r="AZ145" s="138" t="s">
        <v>71</v>
      </c>
    </row>
    <row r="146" spans="8:52" ht="12">
      <c r="H146" s="25" t="s">
        <v>151</v>
      </c>
      <c r="T146" s="28" t="s">
        <v>38</v>
      </c>
      <c r="U146" s="28" t="s">
        <v>38</v>
      </c>
      <c r="V146" s="28" t="s">
        <v>38</v>
      </c>
      <c r="W146" s="28" t="s">
        <v>38</v>
      </c>
      <c r="X146" s="28" t="s">
        <v>38</v>
      </c>
      <c r="Y146" s="143" t="s">
        <v>38</v>
      </c>
      <c r="AH146" s="137"/>
      <c r="AI146" s="25"/>
      <c r="AJ146" s="25"/>
      <c r="AK146" s="25"/>
      <c r="AL146" s="28" t="s">
        <v>38</v>
      </c>
      <c r="AM146" s="28" t="s">
        <v>38</v>
      </c>
      <c r="AN146" s="28" t="s">
        <v>38</v>
      </c>
      <c r="AO146" s="28" t="s">
        <v>38</v>
      </c>
      <c r="AP146" s="28" t="s">
        <v>38</v>
      </c>
      <c r="AQ146" s="143" t="s">
        <v>38</v>
      </c>
      <c r="AU146" s="28" t="s">
        <v>38</v>
      </c>
      <c r="AV146" s="28" t="s">
        <v>38</v>
      </c>
      <c r="AW146" s="28" t="s">
        <v>38</v>
      </c>
      <c r="AX146" s="28" t="s">
        <v>38</v>
      </c>
      <c r="AY146" s="28" t="s">
        <v>38</v>
      </c>
      <c r="AZ146" s="143" t="s">
        <v>38</v>
      </c>
    </row>
    <row r="147" spans="17:52" ht="12">
      <c r="Q147" s="25" t="s">
        <v>79</v>
      </c>
      <c r="S147" s="132">
        <f>T147-X147</f>
        <v>2137</v>
      </c>
      <c r="T147" s="42">
        <v>4862</v>
      </c>
      <c r="U147" s="42">
        <v>4451</v>
      </c>
      <c r="V147" s="42">
        <v>3808</v>
      </c>
      <c r="W147" s="42">
        <v>3188</v>
      </c>
      <c r="X147" s="42">
        <v>2725</v>
      </c>
      <c r="Y147" s="53">
        <f>AVERAGE(T147:X147)</f>
        <v>3806.8</v>
      </c>
      <c r="Z147" s="22" t="s">
        <v>77</v>
      </c>
      <c r="AC147" s="28" t="s">
        <v>71</v>
      </c>
      <c r="AD147" s="28" t="s">
        <v>71</v>
      </c>
      <c r="AE147" s="28" t="s">
        <v>71</v>
      </c>
      <c r="AF147" s="28" t="s">
        <v>71</v>
      </c>
      <c r="AG147" s="28" t="s">
        <v>71</v>
      </c>
      <c r="AH147" s="138" t="s">
        <v>71</v>
      </c>
      <c r="AI147" s="25" t="s">
        <v>79</v>
      </c>
      <c r="AJ147" s="25"/>
      <c r="AK147" s="132">
        <f>AL147-AM147</f>
        <v>140</v>
      </c>
      <c r="AL147" s="42">
        <f aca="true" t="shared" si="57" ref="AL147:AP149">2*AC149</f>
        <v>778</v>
      </c>
      <c r="AM147" s="42">
        <f t="shared" si="57"/>
        <v>638</v>
      </c>
      <c r="AN147" s="42">
        <f t="shared" si="57"/>
        <v>0</v>
      </c>
      <c r="AO147" s="42">
        <f t="shared" si="57"/>
        <v>0</v>
      </c>
      <c r="AP147" s="42">
        <f t="shared" si="57"/>
        <v>0</v>
      </c>
      <c r="AQ147" s="53">
        <f>AVERAGE(AL147:AP147)</f>
        <v>283.2</v>
      </c>
      <c r="AR147" s="25" t="s">
        <v>79</v>
      </c>
      <c r="AT147" s="132">
        <f>AU147-AV147</f>
        <v>1451</v>
      </c>
      <c r="AU147" s="42">
        <v>28172</v>
      </c>
      <c r="AV147" s="42">
        <v>26721</v>
      </c>
      <c r="AW147" s="42">
        <v>23378</v>
      </c>
      <c r="AX147" s="42">
        <v>16303</v>
      </c>
      <c r="AY147" s="42">
        <v>15943</v>
      </c>
      <c r="AZ147" s="53">
        <f>AVERAGE(AU147:AY147)</f>
        <v>22103.4</v>
      </c>
    </row>
    <row r="148" spans="8:52" ht="12">
      <c r="H148" s="25" t="s">
        <v>153</v>
      </c>
      <c r="Q148" s="25" t="s">
        <v>80</v>
      </c>
      <c r="S148" s="132">
        <f>T148-X148</f>
        <v>83</v>
      </c>
      <c r="T148" s="42">
        <v>-4693</v>
      </c>
      <c r="U148" s="42">
        <v>-4149</v>
      </c>
      <c r="V148" s="42">
        <v>1179</v>
      </c>
      <c r="W148" s="42">
        <v>-3209</v>
      </c>
      <c r="X148" s="42">
        <v>-4776</v>
      </c>
      <c r="Y148" s="53">
        <f>AVERAGE(T148:X148)</f>
        <v>-3129.6</v>
      </c>
      <c r="AC148" s="28" t="s">
        <v>68</v>
      </c>
      <c r="AD148" s="28" t="s">
        <v>68</v>
      </c>
      <c r="AE148" s="28" t="s">
        <v>68</v>
      </c>
      <c r="AF148" s="28" t="s">
        <v>68</v>
      </c>
      <c r="AG148" s="28" t="s">
        <v>68</v>
      </c>
      <c r="AH148" s="138" t="s">
        <v>68</v>
      </c>
      <c r="AI148" s="25" t="s">
        <v>80</v>
      </c>
      <c r="AJ148" s="25"/>
      <c r="AK148" s="132">
        <f>AL148-AM148</f>
        <v>620</v>
      </c>
      <c r="AL148" s="42">
        <f t="shared" si="57"/>
        <v>-544</v>
      </c>
      <c r="AM148" s="42">
        <f t="shared" si="57"/>
        <v>-1164</v>
      </c>
      <c r="AN148" s="42">
        <f t="shared" si="57"/>
        <v>0</v>
      </c>
      <c r="AO148" s="42">
        <f t="shared" si="57"/>
        <v>0</v>
      </c>
      <c r="AP148" s="42">
        <f t="shared" si="57"/>
        <v>0</v>
      </c>
      <c r="AQ148" s="53">
        <f>AVERAGE(AL148:AP148)</f>
        <v>-341.6</v>
      </c>
      <c r="AR148" s="25" t="s">
        <v>80</v>
      </c>
      <c r="AT148" s="132">
        <f>AU148-AV148</f>
        <v>-7789</v>
      </c>
      <c r="AU148" s="42">
        <v>-9518</v>
      </c>
      <c r="AV148" s="42">
        <v>-1729</v>
      </c>
      <c r="AW148" s="42">
        <v>-11331</v>
      </c>
      <c r="AX148" s="42">
        <v>-9281</v>
      </c>
      <c r="AY148" s="42">
        <v>-10965</v>
      </c>
      <c r="AZ148" s="53">
        <f>AVERAGE(AU148:AY148)</f>
        <v>-8564.8</v>
      </c>
    </row>
    <row r="149" spans="17:52" ht="12">
      <c r="Q149" s="25" t="s">
        <v>75</v>
      </c>
      <c r="S149" s="132">
        <f>T149-X149</f>
        <v>-2808</v>
      </c>
      <c r="T149" s="42">
        <v>-1004</v>
      </c>
      <c r="U149" s="42">
        <v>-899</v>
      </c>
      <c r="V149" s="42">
        <v>-2824</v>
      </c>
      <c r="W149" s="42">
        <v>-313</v>
      </c>
      <c r="X149" s="42">
        <v>1804</v>
      </c>
      <c r="Y149" s="53">
        <f>AVERAGE(T149:X149)</f>
        <v>-647.2</v>
      </c>
      <c r="Z149" s="25" t="s">
        <v>79</v>
      </c>
      <c r="AB149" s="132">
        <f>AC149-AD149</f>
        <v>70</v>
      </c>
      <c r="AC149" s="42">
        <v>389</v>
      </c>
      <c r="AD149" s="42">
        <v>319</v>
      </c>
      <c r="AE149" s="42"/>
      <c r="AF149" s="42"/>
      <c r="AG149" s="42"/>
      <c r="AH149" s="53">
        <f>AVERAGE(AC149:AG149)</f>
        <v>354</v>
      </c>
      <c r="AI149" s="25" t="s">
        <v>75</v>
      </c>
      <c r="AJ149" s="25"/>
      <c r="AK149" s="132">
        <f>AL149-AM149</f>
        <v>568</v>
      </c>
      <c r="AL149" s="42">
        <f t="shared" si="57"/>
        <v>364</v>
      </c>
      <c r="AM149" s="42">
        <f t="shared" si="57"/>
        <v>-204</v>
      </c>
      <c r="AN149" s="42">
        <f t="shared" si="57"/>
        <v>0</v>
      </c>
      <c r="AO149" s="42">
        <f t="shared" si="57"/>
        <v>0</v>
      </c>
      <c r="AP149" s="42">
        <f t="shared" si="57"/>
        <v>0</v>
      </c>
      <c r="AQ149" s="53">
        <f>AVERAGE(AL149:AP149)</f>
        <v>32</v>
      </c>
      <c r="AR149" s="25" t="s">
        <v>75</v>
      </c>
      <c r="AT149" s="132">
        <f>AU149-AV149</f>
        <v>4232</v>
      </c>
      <c r="AU149" s="42">
        <v>-19071</v>
      </c>
      <c r="AV149" s="42">
        <v>-23303</v>
      </c>
      <c r="AW149" s="42">
        <v>-12835</v>
      </c>
      <c r="AX149" s="42">
        <v>-6803</v>
      </c>
      <c r="AY149" s="42">
        <v>-5141</v>
      </c>
      <c r="AZ149" s="53">
        <f>AVERAGE(AU149:AY149)</f>
        <v>-13430.6</v>
      </c>
    </row>
    <row r="150" spans="8:52" ht="12">
      <c r="H150" s="25" t="s">
        <v>161</v>
      </c>
      <c r="Q150" s="25" t="s">
        <v>64</v>
      </c>
      <c r="S150" s="132">
        <f>T150-X150</f>
        <v>63</v>
      </c>
      <c r="T150" s="42">
        <v>813</v>
      </c>
      <c r="U150" s="42">
        <v>1648</v>
      </c>
      <c r="V150" s="42">
        <v>2245</v>
      </c>
      <c r="W150" s="42">
        <v>708</v>
      </c>
      <c r="X150" s="42">
        <v>750</v>
      </c>
      <c r="Y150" s="53">
        <f>AVERAGE(T150:X150)</f>
        <v>1232.8</v>
      </c>
      <c r="Z150" s="25" t="s">
        <v>80</v>
      </c>
      <c r="AB150" s="132">
        <f>AC150-AD150</f>
        <v>310</v>
      </c>
      <c r="AC150" s="42">
        <v>-272</v>
      </c>
      <c r="AD150" s="42">
        <v>-582</v>
      </c>
      <c r="AE150" s="42"/>
      <c r="AF150" s="42"/>
      <c r="AG150" s="42"/>
      <c r="AH150" s="53">
        <f>AVERAGE(AC150:AG150)</f>
        <v>-427</v>
      </c>
      <c r="AI150" s="25" t="s">
        <v>64</v>
      </c>
      <c r="AJ150" s="25"/>
      <c r="AK150" s="132">
        <f>AL150-AM150</f>
        <v>-126</v>
      </c>
      <c r="AL150" s="42">
        <f>2*AC153</f>
        <v>-102</v>
      </c>
      <c r="AM150" s="42">
        <f>2*AD153</f>
        <v>24</v>
      </c>
      <c r="AN150" s="42">
        <f>2*AE153</f>
        <v>0</v>
      </c>
      <c r="AO150" s="42">
        <f>2*AF153</f>
        <v>0</v>
      </c>
      <c r="AP150" s="42">
        <f>2*AG153</f>
        <v>0</v>
      </c>
      <c r="AQ150" s="53">
        <f>AVERAGE(AL150:AP150)</f>
        <v>-15.6</v>
      </c>
      <c r="AR150" s="25" t="s">
        <v>64</v>
      </c>
      <c r="AT150" s="132">
        <f>AU150-AV150</f>
        <v>-370</v>
      </c>
      <c r="AU150" s="42">
        <v>2590</v>
      </c>
      <c r="AV150" s="42">
        <v>2960</v>
      </c>
      <c r="AW150" s="42">
        <v>1359</v>
      </c>
      <c r="AX150" s="42">
        <v>2056</v>
      </c>
      <c r="AY150" s="42">
        <v>1735</v>
      </c>
      <c r="AZ150" s="53">
        <f>AVERAGE(AU150:AY150)</f>
        <v>2140</v>
      </c>
    </row>
    <row r="151" spans="26:52" ht="12">
      <c r="Z151" s="25" t="s">
        <v>75</v>
      </c>
      <c r="AB151" s="132">
        <f>AC151-AD151</f>
        <v>284</v>
      </c>
      <c r="AC151" s="42">
        <v>182</v>
      </c>
      <c r="AD151" s="42">
        <v>-102</v>
      </c>
      <c r="AE151" s="42"/>
      <c r="AF151" s="42"/>
      <c r="AG151" s="42"/>
      <c r="AH151" s="53">
        <f>AVERAGE(AC151:AG151)</f>
        <v>40</v>
      </c>
      <c r="AI151" s="25"/>
      <c r="AJ151" s="25"/>
      <c r="AK151" s="25"/>
      <c r="AL151" s="25"/>
      <c r="AM151" s="25"/>
      <c r="AN151" s="25"/>
      <c r="AO151" s="25"/>
      <c r="AP151" s="25"/>
      <c r="AQ151" s="137"/>
      <c r="AZ151" s="137"/>
    </row>
    <row r="152" spans="17:52" ht="12">
      <c r="Q152" s="139" t="s">
        <v>282</v>
      </c>
      <c r="R152" s="133"/>
      <c r="S152" s="133"/>
      <c r="T152" s="28" t="s">
        <v>71</v>
      </c>
      <c r="U152" s="28" t="s">
        <v>71</v>
      </c>
      <c r="V152" s="28" t="s">
        <v>71</v>
      </c>
      <c r="W152" s="28" t="s">
        <v>71</v>
      </c>
      <c r="X152" s="28" t="s">
        <v>71</v>
      </c>
      <c r="Y152" s="138" t="s">
        <v>71</v>
      </c>
      <c r="Z152" s="25" t="s">
        <v>63</v>
      </c>
      <c r="AB152" s="132">
        <f>AC152-AD152</f>
        <v>-409</v>
      </c>
      <c r="AC152" s="42">
        <v>12</v>
      </c>
      <c r="AD152" s="42">
        <v>421</v>
      </c>
      <c r="AE152" s="42"/>
      <c r="AF152" s="42"/>
      <c r="AG152" s="42"/>
      <c r="AH152" s="53">
        <f>AVERAGE(AC152:AG152)</f>
        <v>216.5</v>
      </c>
      <c r="AI152" s="139" t="s">
        <v>282</v>
      </c>
      <c r="AL152" s="28" t="s">
        <v>71</v>
      </c>
      <c r="AM152" s="28" t="s">
        <v>71</v>
      </c>
      <c r="AN152" s="28" t="s">
        <v>71</v>
      </c>
      <c r="AO152" s="28" t="s">
        <v>71</v>
      </c>
      <c r="AP152" s="28" t="s">
        <v>71</v>
      </c>
      <c r="AQ152" s="138" t="s">
        <v>71</v>
      </c>
      <c r="AR152" s="139" t="s">
        <v>282</v>
      </c>
      <c r="AS152" s="133"/>
      <c r="AT152" s="133"/>
      <c r="AU152" s="28" t="s">
        <v>71</v>
      </c>
      <c r="AV152" s="28" t="s">
        <v>71</v>
      </c>
      <c r="AW152" s="28" t="s">
        <v>71</v>
      </c>
      <c r="AX152" s="28" t="s">
        <v>71</v>
      </c>
      <c r="AY152" s="28" t="s">
        <v>71</v>
      </c>
      <c r="AZ152" s="138" t="s">
        <v>71</v>
      </c>
    </row>
    <row r="153" spans="17:52" ht="12">
      <c r="Q153" s="133"/>
      <c r="R153" s="133"/>
      <c r="S153" s="133"/>
      <c r="T153" s="28" t="s">
        <v>38</v>
      </c>
      <c r="U153" s="28" t="s">
        <v>38</v>
      </c>
      <c r="V153" s="28" t="s">
        <v>38</v>
      </c>
      <c r="W153" s="28" t="s">
        <v>38</v>
      </c>
      <c r="X153" s="28" t="s">
        <v>38</v>
      </c>
      <c r="Y153" s="143" t="s">
        <v>38</v>
      </c>
      <c r="Z153" s="25" t="s">
        <v>64</v>
      </c>
      <c r="AB153" s="132">
        <f>AC153-AD153</f>
        <v>-63</v>
      </c>
      <c r="AC153" s="42">
        <v>-51</v>
      </c>
      <c r="AD153" s="42">
        <v>12</v>
      </c>
      <c r="AE153" s="42"/>
      <c r="AF153" s="42"/>
      <c r="AG153" s="42"/>
      <c r="AH153" s="53">
        <f>AVERAGE(AC153:AG153)</f>
        <v>-19.5</v>
      </c>
      <c r="AL153" s="28" t="s">
        <v>38</v>
      </c>
      <c r="AM153" s="28" t="s">
        <v>38</v>
      </c>
      <c r="AN153" s="28" t="s">
        <v>38</v>
      </c>
      <c r="AO153" s="28" t="s">
        <v>38</v>
      </c>
      <c r="AP153" s="28" t="s">
        <v>38</v>
      </c>
      <c r="AQ153" s="143" t="s">
        <v>38</v>
      </c>
      <c r="AR153" s="133"/>
      <c r="AS153" s="133"/>
      <c r="AT153" s="133"/>
      <c r="AU153" s="28" t="s">
        <v>38</v>
      </c>
      <c r="AV153" s="28" t="s">
        <v>38</v>
      </c>
      <c r="AW153" s="28" t="s">
        <v>38</v>
      </c>
      <c r="AX153" s="28" t="s">
        <v>38</v>
      </c>
      <c r="AY153" s="28" t="s">
        <v>38</v>
      </c>
      <c r="AZ153" s="143" t="s">
        <v>38</v>
      </c>
    </row>
    <row r="154" spans="17:52" ht="12">
      <c r="Q154" s="25" t="s">
        <v>283</v>
      </c>
      <c r="R154" s="22"/>
      <c r="S154" s="132">
        <f>T154-X154</f>
        <v>0</v>
      </c>
      <c r="Y154" s="53" t="e">
        <f>AVERAGE(T154:X154)</f>
        <v>#DIV/0!</v>
      </c>
      <c r="AH154" s="137"/>
      <c r="AI154" s="25" t="s">
        <v>283</v>
      </c>
      <c r="AJ154" s="22"/>
      <c r="AK154" s="132">
        <f>AL154-AP154</f>
        <v>2297</v>
      </c>
      <c r="AL154" s="42">
        <v>3574</v>
      </c>
      <c r="AM154" s="42">
        <v>2451</v>
      </c>
      <c r="AN154" s="42">
        <v>1456</v>
      </c>
      <c r="AO154" s="42">
        <v>1660</v>
      </c>
      <c r="AP154" s="42">
        <v>1277</v>
      </c>
      <c r="AQ154" s="53">
        <f>AVERAGE(AL154:AP154)</f>
        <v>2083.6</v>
      </c>
      <c r="AR154" s="25" t="s">
        <v>283</v>
      </c>
      <c r="AS154" s="22"/>
      <c r="AT154" s="132">
        <f>AU154-AY154</f>
        <v>460</v>
      </c>
      <c r="AU154" s="42">
        <f>5246+10780</f>
        <v>16026</v>
      </c>
      <c r="AV154" s="42">
        <f>4772+10371</f>
        <v>15143</v>
      </c>
      <c r="AW154" s="42">
        <f>4205+10857</f>
        <v>15062</v>
      </c>
      <c r="AX154" s="42">
        <f>4471+10592</f>
        <v>15063</v>
      </c>
      <c r="AY154" s="42">
        <f>5128+10438</f>
        <v>15566</v>
      </c>
      <c r="AZ154" s="53">
        <f>AVERAGE(AU154:AY154)</f>
        <v>15372</v>
      </c>
    </row>
    <row r="155" spans="17:52" ht="12">
      <c r="Q155" s="133" t="s">
        <v>284</v>
      </c>
      <c r="R155" s="133"/>
      <c r="S155" s="132">
        <f>T155-X155</f>
        <v>5505</v>
      </c>
      <c r="T155" s="42">
        <v>19038</v>
      </c>
      <c r="U155" s="42">
        <v>16860</v>
      </c>
      <c r="V155" s="42">
        <v>15153</v>
      </c>
      <c r="W155" s="42">
        <v>15307</v>
      </c>
      <c r="X155" s="42">
        <v>13533</v>
      </c>
      <c r="Y155" s="53">
        <f>AVERAGE(T155:X155)</f>
        <v>15978.2</v>
      </c>
      <c r="AC155" s="28" t="s">
        <v>71</v>
      </c>
      <c r="AD155" s="28" t="s">
        <v>71</v>
      </c>
      <c r="AE155" s="28" t="s">
        <v>71</v>
      </c>
      <c r="AF155" s="28" t="s">
        <v>71</v>
      </c>
      <c r="AG155" s="28" t="s">
        <v>71</v>
      </c>
      <c r="AH155" s="138" t="s">
        <v>71</v>
      </c>
      <c r="AI155" s="133" t="s">
        <v>284</v>
      </c>
      <c r="AK155" s="132">
        <f>AL155-AP155</f>
        <v>-132</v>
      </c>
      <c r="AL155" s="42">
        <v>996</v>
      </c>
      <c r="AM155" s="42">
        <v>1006</v>
      </c>
      <c r="AN155" s="42">
        <v>823</v>
      </c>
      <c r="AO155" s="42">
        <v>1115</v>
      </c>
      <c r="AP155" s="42">
        <v>1128</v>
      </c>
      <c r="AQ155" s="53">
        <f>AVERAGE(AL155:AP155)</f>
        <v>1013.6</v>
      </c>
      <c r="AR155" s="133" t="s">
        <v>284</v>
      </c>
      <c r="AS155" s="133"/>
      <c r="AT155" s="132">
        <f>AU155-AY155</f>
        <v>3317</v>
      </c>
      <c r="AU155" s="42">
        <v>90999</v>
      </c>
      <c r="AV155" s="42">
        <v>85947</v>
      </c>
      <c r="AW155" s="42">
        <v>93092</v>
      </c>
      <c r="AX155" s="42">
        <v>88607</v>
      </c>
      <c r="AY155" s="42">
        <v>87682</v>
      </c>
      <c r="AZ155" s="53">
        <f>AVERAGE(AU155:AY155)</f>
        <v>89265.4</v>
      </c>
    </row>
    <row r="156" spans="8:52" ht="12">
      <c r="H156" s="22" t="s">
        <v>156</v>
      </c>
      <c r="R156" s="22"/>
      <c r="S156" s="132"/>
      <c r="Y156" s="53"/>
      <c r="Z156" s="22"/>
      <c r="AA156" s="22"/>
      <c r="AB156" s="22"/>
      <c r="AC156" s="28" t="s">
        <v>68</v>
      </c>
      <c r="AD156" s="28" t="s">
        <v>68</v>
      </c>
      <c r="AE156" s="28" t="s">
        <v>68</v>
      </c>
      <c r="AF156" s="28" t="s">
        <v>68</v>
      </c>
      <c r="AG156" s="28" t="s">
        <v>68</v>
      </c>
      <c r="AH156" s="138" t="s">
        <v>68</v>
      </c>
      <c r="AI156" s="25"/>
      <c r="AJ156" s="22"/>
      <c r="AK156" s="132"/>
      <c r="AL156" s="25"/>
      <c r="AM156" s="25"/>
      <c r="AN156" s="25"/>
      <c r="AO156" s="25"/>
      <c r="AP156" s="25"/>
      <c r="AQ156" s="53"/>
      <c r="AS156" s="22"/>
      <c r="AT156" s="132"/>
      <c r="AU156" s="42"/>
      <c r="AV156" s="42"/>
      <c r="AW156" s="42"/>
      <c r="AX156" s="42"/>
      <c r="AY156" s="42"/>
      <c r="AZ156" s="53"/>
    </row>
    <row r="157" spans="26:34" ht="12">
      <c r="Z157" s="22" t="s">
        <v>102</v>
      </c>
      <c r="AB157" s="132">
        <f>AC157-AG157</f>
        <v>1526</v>
      </c>
      <c r="AC157" s="42">
        <f>AC129-AC130</f>
        <v>2657</v>
      </c>
      <c r="AD157" s="42">
        <f>AD129-AD130</f>
        <v>2972</v>
      </c>
      <c r="AE157" s="42">
        <f>AE129-AE130</f>
        <v>1895</v>
      </c>
      <c r="AF157" s="42">
        <f>AF129-AF130</f>
        <v>1856</v>
      </c>
      <c r="AG157" s="42">
        <f>AG129-AG130</f>
        <v>1131</v>
      </c>
      <c r="AH157" s="53">
        <f>AVERAGE(AC157:AG157)</f>
        <v>2102.2</v>
      </c>
    </row>
    <row r="158" spans="8:34" ht="12">
      <c r="H158" s="25" t="s">
        <v>157</v>
      </c>
      <c r="Z158" s="22" t="s">
        <v>104</v>
      </c>
      <c r="AB158" s="132">
        <f>AC158-AG158</f>
        <v>-2570</v>
      </c>
      <c r="AC158" s="42">
        <f>AC134-AC157</f>
        <v>-477</v>
      </c>
      <c r="AD158" s="42">
        <f>AD134-AD157</f>
        <v>33</v>
      </c>
      <c r="AE158" s="42">
        <f>AE134-AE157</f>
        <v>838</v>
      </c>
      <c r="AF158" s="42">
        <f>AF134-AF157</f>
        <v>1200</v>
      </c>
      <c r="AG158" s="42">
        <f>AG134-AG157</f>
        <v>2093</v>
      </c>
      <c r="AH158" s="53">
        <f>AVERAGE(AC158:AG158)</f>
        <v>737.4</v>
      </c>
    </row>
    <row r="159" spans="8:52" ht="12">
      <c r="H159" s="25" t="s">
        <v>158</v>
      </c>
      <c r="T159" s="28" t="s">
        <v>71</v>
      </c>
      <c r="U159" s="28" t="s">
        <v>71</v>
      </c>
      <c r="V159" s="28" t="s">
        <v>71</v>
      </c>
      <c r="W159" s="28" t="s">
        <v>71</v>
      </c>
      <c r="X159" s="28" t="s">
        <v>71</v>
      </c>
      <c r="Y159" s="138" t="s">
        <v>71</v>
      </c>
      <c r="Z159" s="22"/>
      <c r="AC159" s="33"/>
      <c r="AD159" s="33"/>
      <c r="AE159" s="33"/>
      <c r="AF159" s="33"/>
      <c r="AG159" s="33"/>
      <c r="AH159" s="140"/>
      <c r="AI159" s="25"/>
      <c r="AJ159" s="25"/>
      <c r="AK159" s="25"/>
      <c r="AL159" s="28" t="s">
        <v>71</v>
      </c>
      <c r="AM159" s="28" t="s">
        <v>71</v>
      </c>
      <c r="AN159" s="28" t="s">
        <v>71</v>
      </c>
      <c r="AO159" s="28" t="s">
        <v>71</v>
      </c>
      <c r="AP159" s="28" t="s">
        <v>71</v>
      </c>
      <c r="AQ159" s="138" t="s">
        <v>71</v>
      </c>
      <c r="AU159" s="28" t="s">
        <v>71</v>
      </c>
      <c r="AV159" s="28" t="s">
        <v>71</v>
      </c>
      <c r="AW159" s="28" t="s">
        <v>71</v>
      </c>
      <c r="AX159" s="28" t="s">
        <v>71</v>
      </c>
      <c r="AY159" s="28" t="s">
        <v>71</v>
      </c>
      <c r="AZ159" s="138" t="s">
        <v>71</v>
      </c>
    </row>
    <row r="160" spans="17:52" ht="12">
      <c r="Q160" s="22"/>
      <c r="R160" s="22"/>
      <c r="S160" s="22"/>
      <c r="T160" s="28" t="s">
        <v>38</v>
      </c>
      <c r="U160" s="28" t="s">
        <v>38</v>
      </c>
      <c r="V160" s="28" t="s">
        <v>38</v>
      </c>
      <c r="W160" s="28" t="s">
        <v>38</v>
      </c>
      <c r="X160" s="28" t="s">
        <v>38</v>
      </c>
      <c r="Y160" s="143" t="s">
        <v>38</v>
      </c>
      <c r="Z160" s="22"/>
      <c r="AC160" s="48" t="s">
        <v>105</v>
      </c>
      <c r="AD160" s="48" t="s">
        <v>105</v>
      </c>
      <c r="AE160" s="48" t="s">
        <v>105</v>
      </c>
      <c r="AF160" s="48" t="s">
        <v>105</v>
      </c>
      <c r="AG160" s="48" t="s">
        <v>105</v>
      </c>
      <c r="AH160" s="141" t="s">
        <v>105</v>
      </c>
      <c r="AI160" s="22"/>
      <c r="AJ160" s="22"/>
      <c r="AK160" s="22"/>
      <c r="AL160" s="28" t="s">
        <v>38</v>
      </c>
      <c r="AM160" s="28" t="s">
        <v>38</v>
      </c>
      <c r="AN160" s="28" t="s">
        <v>38</v>
      </c>
      <c r="AO160" s="28" t="s">
        <v>38</v>
      </c>
      <c r="AP160" s="28" t="s">
        <v>38</v>
      </c>
      <c r="AQ160" s="143" t="s">
        <v>38</v>
      </c>
      <c r="AR160" s="22"/>
      <c r="AS160" s="22"/>
      <c r="AT160" s="22"/>
      <c r="AU160" s="28" t="s">
        <v>38</v>
      </c>
      <c r="AV160" s="28" t="s">
        <v>38</v>
      </c>
      <c r="AW160" s="28" t="s">
        <v>38</v>
      </c>
      <c r="AX160" s="28" t="s">
        <v>38</v>
      </c>
      <c r="AY160" s="28" t="s">
        <v>38</v>
      </c>
      <c r="AZ160" s="143" t="s">
        <v>38</v>
      </c>
    </row>
    <row r="161" spans="17:52" ht="12">
      <c r="Q161" s="22" t="s">
        <v>102</v>
      </c>
      <c r="S161" s="132">
        <f>T161-X161</f>
        <v>5152</v>
      </c>
      <c r="T161" s="42">
        <f>T129-T130</f>
        <v>26232</v>
      </c>
      <c r="U161" s="42">
        <f>U129-U130</f>
        <v>25407</v>
      </c>
      <c r="V161" s="42">
        <f>V129-V130</f>
        <v>24073</v>
      </c>
      <c r="W161" s="42">
        <f>W129-W130</f>
        <v>23102</v>
      </c>
      <c r="X161" s="42">
        <f>X129-X130</f>
        <v>21080</v>
      </c>
      <c r="Y161" s="53">
        <f>AVERAGE(T161:X161)</f>
        <v>23978.8</v>
      </c>
      <c r="Z161" s="22" t="s">
        <v>53</v>
      </c>
      <c r="AB161" s="44">
        <f aca="true" t="shared" si="58" ref="AB161:AB167">AC161-AG161</f>
        <v>-11.544268397343558</v>
      </c>
      <c r="AC161" s="51">
        <f>(AC131/AC157)*100</f>
        <v>90.66616484757245</v>
      </c>
      <c r="AD161" s="51">
        <f>(AD131/AD157)*100</f>
        <v>82.50336473755047</v>
      </c>
      <c r="AE161" s="51">
        <f>(AE131/AE157)*100</f>
        <v>131.45118733509236</v>
      </c>
      <c r="AF161" s="51">
        <f>(AF131/AF157)*100</f>
        <v>131.25</v>
      </c>
      <c r="AG161" s="51">
        <f>(AG131/AG157)*100</f>
        <v>102.210433244916</v>
      </c>
      <c r="AH161" s="140">
        <f aca="true" t="shared" si="59" ref="AH161:AH167">AVERAGE(AC161:AG161)</f>
        <v>107.61623003302626</v>
      </c>
      <c r="AI161" s="22" t="s">
        <v>102</v>
      </c>
      <c r="AJ161" s="25"/>
      <c r="AK161" s="132">
        <f>AL161-AP161</f>
        <v>3052</v>
      </c>
      <c r="AL161" s="42">
        <f>AL129-AL130</f>
        <v>5314</v>
      </c>
      <c r="AM161" s="42">
        <f>AM129-AM130</f>
        <v>5944</v>
      </c>
      <c r="AN161" s="42">
        <f>AN129-AN130</f>
        <v>3790</v>
      </c>
      <c r="AO161" s="42">
        <f>AO129-AO130</f>
        <v>3712</v>
      </c>
      <c r="AP161" s="42">
        <f>AP129-AP130</f>
        <v>2262</v>
      </c>
      <c r="AQ161" s="53">
        <f>AVERAGE(AL161:AP161)</f>
        <v>4204.4</v>
      </c>
      <c r="AR161" s="22" t="s">
        <v>102</v>
      </c>
      <c r="AT161" s="132">
        <f>AU161-AY161</f>
        <v>33865</v>
      </c>
      <c r="AU161" s="42">
        <f>AU129-AU130</f>
        <v>142303</v>
      </c>
      <c r="AV161" s="42">
        <f>AV129-AV130</f>
        <v>135417</v>
      </c>
      <c r="AW161" s="42">
        <f>AW129-AW130</f>
        <v>131504</v>
      </c>
      <c r="AX161" s="42">
        <f>AX129-AX130</f>
        <v>122708</v>
      </c>
      <c r="AY161" s="42">
        <f>AY129-AY130</f>
        <v>108438</v>
      </c>
      <c r="AZ161" s="53">
        <f>AVERAGE(AU161:AY161)</f>
        <v>128074</v>
      </c>
    </row>
    <row r="162" spans="17:52" ht="12">
      <c r="Q162" s="22" t="s">
        <v>104</v>
      </c>
      <c r="S162" s="44">
        <f>T162-X162</f>
        <v>0.4931728734347087</v>
      </c>
      <c r="T162" s="33">
        <f>T134/T161</f>
        <v>2.2678408051235133</v>
      </c>
      <c r="U162" s="33">
        <f>U134/U161</f>
        <v>2.0710827724642815</v>
      </c>
      <c r="V162" s="33">
        <f>V134/V161</f>
        <v>1.9457068084576081</v>
      </c>
      <c r="W162" s="33">
        <f>W134/W161</f>
        <v>1.8191065708596659</v>
      </c>
      <c r="X162" s="33">
        <f>X134/X161</f>
        <v>1.7746679316888045</v>
      </c>
      <c r="Y162" s="140">
        <f>AVERAGE(T162:X162)</f>
        <v>1.9756809777187747</v>
      </c>
      <c r="Z162" s="22" t="s">
        <v>54</v>
      </c>
      <c r="AB162" s="44">
        <f t="shared" si="58"/>
        <v>12.048396854204478</v>
      </c>
      <c r="AC162" s="51">
        <f>AC136/AC137</f>
        <v>17.80701754385965</v>
      </c>
      <c r="AD162" s="51">
        <f>AD136/AD137</f>
        <v>31.31578947368421</v>
      </c>
      <c r="AE162" s="51">
        <f>AE136/AE137</f>
        <v>19.466666666666665</v>
      </c>
      <c r="AF162" s="51">
        <f>AF136/AF137</f>
        <v>10</v>
      </c>
      <c r="AG162" s="51">
        <f>AG136/AG137</f>
        <v>5.758620689655173</v>
      </c>
      <c r="AH162" s="140">
        <f t="shared" si="59"/>
        <v>16.869618874773142</v>
      </c>
      <c r="AI162" s="22" t="s">
        <v>104</v>
      </c>
      <c r="AJ162" s="25"/>
      <c r="AK162" s="44">
        <f>AL162-AP162</f>
        <v>-2.030100493599644</v>
      </c>
      <c r="AL162" s="33">
        <f>AL134/AL161</f>
        <v>0.8204742190440346</v>
      </c>
      <c r="AM162" s="33">
        <f>AM134/AM161</f>
        <v>1.0111036339165544</v>
      </c>
      <c r="AN162" s="33">
        <f>AN134/AN161</f>
        <v>1.4422163588390502</v>
      </c>
      <c r="AO162" s="33">
        <f>AO134/AO161</f>
        <v>1.646551724137931</v>
      </c>
      <c r="AP162" s="33">
        <f>AP134/AP161</f>
        <v>2.8505747126436782</v>
      </c>
      <c r="AQ162" s="140">
        <f>AVERAGE(AL162:AP162)</f>
        <v>1.5541841297162498</v>
      </c>
      <c r="AR162" s="22" t="s">
        <v>104</v>
      </c>
      <c r="AT162" s="44">
        <f>AU162-AY162</f>
        <v>0.5065165859947305</v>
      </c>
      <c r="AU162" s="33">
        <f>AU134/AU161</f>
        <v>1.9015902686521016</v>
      </c>
      <c r="AV162" s="33">
        <f>AV134/AV161</f>
        <v>1.8014577194886905</v>
      </c>
      <c r="AW162" s="33">
        <f>AW134/AW161</f>
        <v>1.4822286774546782</v>
      </c>
      <c r="AX162" s="33">
        <f>AX134/AX161</f>
        <v>1.3578006323956058</v>
      </c>
      <c r="AY162" s="33">
        <f>AY134/AY161</f>
        <v>1.395073682657371</v>
      </c>
      <c r="AZ162" s="140">
        <f>AVERAGE(AU162:AY162)</f>
        <v>1.5876301961296893</v>
      </c>
    </row>
    <row r="163" spans="17:52" ht="12">
      <c r="Q163" s="22"/>
      <c r="T163" s="33"/>
      <c r="U163" s="33"/>
      <c r="V163" s="33"/>
      <c r="W163" s="33"/>
      <c r="X163" s="33"/>
      <c r="Y163" s="140"/>
      <c r="Z163" s="22" t="s">
        <v>97</v>
      </c>
      <c r="AB163" s="44">
        <f t="shared" si="58"/>
        <v>-31.45346399748454</v>
      </c>
      <c r="AC163" s="51">
        <f>(AC139/AC132)*100</f>
        <v>1.760821716801174</v>
      </c>
      <c r="AD163" s="51">
        <f>(AD139/AD132)*100</f>
        <v>18.328840970350406</v>
      </c>
      <c r="AE163" s="51">
        <f>(AE139/AE132)*100</f>
        <v>13.82219338092148</v>
      </c>
      <c r="AF163" s="51">
        <f>(AF139/AF132)*100</f>
        <v>9.046849757673666</v>
      </c>
      <c r="AG163" s="51">
        <f>(AG139/AG132)*100</f>
        <v>33.214285714285715</v>
      </c>
      <c r="AH163" s="140">
        <f t="shared" si="59"/>
        <v>15.234598308006492</v>
      </c>
      <c r="AI163" s="22"/>
      <c r="AJ163" s="25"/>
      <c r="AK163" s="25"/>
      <c r="AL163" s="33"/>
      <c r="AM163" s="33"/>
      <c r="AN163" s="33"/>
      <c r="AO163" s="33"/>
      <c r="AP163" s="33"/>
      <c r="AQ163" s="140"/>
      <c r="AR163" s="22"/>
      <c r="AU163" s="33"/>
      <c r="AV163" s="33"/>
      <c r="AW163" s="33"/>
      <c r="AX163" s="33"/>
      <c r="AY163" s="33"/>
      <c r="AZ163" s="140"/>
    </row>
    <row r="164" spans="17:52" ht="12">
      <c r="Q164" s="22"/>
      <c r="T164" s="48" t="s">
        <v>105</v>
      </c>
      <c r="U164" s="48" t="s">
        <v>105</v>
      </c>
      <c r="V164" s="48" t="s">
        <v>105</v>
      </c>
      <c r="W164" s="48" t="s">
        <v>105</v>
      </c>
      <c r="X164" s="48" t="s">
        <v>105</v>
      </c>
      <c r="Y164" s="141" t="s">
        <v>105</v>
      </c>
      <c r="Z164" s="22" t="s">
        <v>86</v>
      </c>
      <c r="AB164" s="44">
        <f t="shared" si="58"/>
        <v>36.19983153868919</v>
      </c>
      <c r="AC164" s="51">
        <f>(AC136/AC134)*100</f>
        <v>46.559633027522935</v>
      </c>
      <c r="AD164" s="51">
        <f>(AD136/AD134)*100</f>
        <v>39.60066555740433</v>
      </c>
      <c r="AE164" s="51">
        <f>(AE136/AE134)*100</f>
        <v>10.684229784120014</v>
      </c>
      <c r="AF164" s="51">
        <f>(AF136/AF134)*100</f>
        <v>12.43455497382199</v>
      </c>
      <c r="AG164" s="51">
        <f>(AG136/AG134)*100</f>
        <v>10.359801488833748</v>
      </c>
      <c r="AH164" s="140">
        <f t="shared" si="59"/>
        <v>23.927776966340605</v>
      </c>
      <c r="AI164" s="22"/>
      <c r="AJ164" s="25"/>
      <c r="AK164" s="25"/>
      <c r="AL164" s="48" t="s">
        <v>105</v>
      </c>
      <c r="AM164" s="48" t="s">
        <v>105</v>
      </c>
      <c r="AN164" s="48" t="s">
        <v>105</v>
      </c>
      <c r="AO164" s="48" t="s">
        <v>105</v>
      </c>
      <c r="AP164" s="48" t="s">
        <v>105</v>
      </c>
      <c r="AQ164" s="141" t="s">
        <v>105</v>
      </c>
      <c r="AR164" s="22"/>
      <c r="AU164" s="48" t="s">
        <v>105</v>
      </c>
      <c r="AV164" s="48" t="s">
        <v>105</v>
      </c>
      <c r="AW164" s="48" t="s">
        <v>105</v>
      </c>
      <c r="AX164" s="48" t="s">
        <v>105</v>
      </c>
      <c r="AY164" s="48" t="s">
        <v>105</v>
      </c>
      <c r="AZ164" s="141" t="s">
        <v>105</v>
      </c>
    </row>
    <row r="165" spans="17:52" ht="12">
      <c r="Q165" s="22" t="s">
        <v>53</v>
      </c>
      <c r="S165" s="44">
        <f aca="true" t="shared" si="60" ref="S165:S171">T165-X165</f>
        <v>-8.107455123831556</v>
      </c>
      <c r="T165" s="51">
        <f>(T131/T161)*100</f>
        <v>82.78438548337907</v>
      </c>
      <c r="U165" s="51">
        <f>(U131/U161)*100</f>
        <v>81.82784272051009</v>
      </c>
      <c r="V165" s="51">
        <f>(V131/V161)*100</f>
        <v>80.02326257633034</v>
      </c>
      <c r="W165" s="51">
        <f>(W131/W161)*100</f>
        <v>87.80192191152281</v>
      </c>
      <c r="X165" s="51">
        <f>(X131/X161)*100</f>
        <v>90.89184060721063</v>
      </c>
      <c r="Y165" s="140">
        <f aca="true" t="shared" si="61" ref="Y165:Y171">AVERAGE(T165:X165)</f>
        <v>84.66585065979059</v>
      </c>
      <c r="Z165" s="22" t="s">
        <v>23</v>
      </c>
      <c r="AB165" s="44">
        <f t="shared" si="58"/>
        <v>0.8910017768000675</v>
      </c>
      <c r="AC165" s="51">
        <f>AC128/AC130</f>
        <v>1.2825112107623318</v>
      </c>
      <c r="AD165" s="51">
        <f>AD128/AD130</f>
        <v>1.396265560165975</v>
      </c>
      <c r="AE165" s="51">
        <f>AE128/AE130</f>
        <v>0.31596638655462184</v>
      </c>
      <c r="AF165" s="51">
        <f>AF128/AF130</f>
        <v>0.46206896551724136</v>
      </c>
      <c r="AG165" s="51">
        <f>AG128/AG130</f>
        <v>0.3915094339622642</v>
      </c>
      <c r="AH165" s="140">
        <f t="shared" si="59"/>
        <v>0.7696643113924868</v>
      </c>
      <c r="AI165" s="22" t="s">
        <v>53</v>
      </c>
      <c r="AJ165" s="25"/>
      <c r="AK165" s="44">
        <f aca="true" t="shared" si="62" ref="AK165:AK171">AL165-AP165</f>
        <v>-11.544268397343558</v>
      </c>
      <c r="AL165" s="51">
        <f>(AL131/AL161)*100</f>
        <v>90.66616484757245</v>
      </c>
      <c r="AM165" s="51">
        <f>(AM131/AM161)*100</f>
        <v>82.50336473755047</v>
      </c>
      <c r="AN165" s="51">
        <f>(AN131/AN161)*100</f>
        <v>131.45118733509236</v>
      </c>
      <c r="AO165" s="51">
        <f>(AO131/AO161)*100</f>
        <v>131.25</v>
      </c>
      <c r="AP165" s="51">
        <f>(AP131/AP161)*100</f>
        <v>102.210433244916</v>
      </c>
      <c r="AQ165" s="140">
        <f aca="true" t="shared" si="63" ref="AQ165:AQ171">AVERAGE(AL165:AP165)</f>
        <v>107.61623003302626</v>
      </c>
      <c r="AR165" s="22" t="s">
        <v>53</v>
      </c>
      <c r="AT165" s="44">
        <f aca="true" t="shared" si="64" ref="AT165:AT171">AU165-AY165</f>
        <v>8.952141792288103</v>
      </c>
      <c r="AU165" s="51">
        <f>(AU131/AU161)*100</f>
        <v>92.8553860424587</v>
      </c>
      <c r="AV165" s="51">
        <f>(AV131/AV161)*100</f>
        <v>93.1559553084177</v>
      </c>
      <c r="AW165" s="51">
        <f>(AW131/AW161)*100</f>
        <v>88.51061564667233</v>
      </c>
      <c r="AX165" s="51">
        <f>(AX131/AX161)*100</f>
        <v>83.30915669719985</v>
      </c>
      <c r="AY165" s="51">
        <f>(AY131/AY161)*100</f>
        <v>83.9032442501706</v>
      </c>
      <c r="AZ165" s="140">
        <f aca="true" t="shared" si="65" ref="AZ165:AZ171">AVERAGE(AU165:AY165)</f>
        <v>88.34687158898383</v>
      </c>
    </row>
    <row r="166" spans="17:52" ht="12">
      <c r="Q166" s="22" t="s">
        <v>54</v>
      </c>
      <c r="S166" s="44">
        <f t="shared" si="60"/>
        <v>11.756009427574352</v>
      </c>
      <c r="T166" s="51">
        <f>T136/T137</f>
        <v>34.40239726027397</v>
      </c>
      <c r="U166" s="51">
        <f>U136/U137</f>
        <v>37.80555555555556</v>
      </c>
      <c r="V166" s="51">
        <f>V136/V137</f>
        <v>32.07083333333333</v>
      </c>
      <c r="W166" s="51">
        <f>W136/W137</f>
        <v>25.15867158671587</v>
      </c>
      <c r="X166" s="51">
        <f>X136/X137</f>
        <v>22.64638783269962</v>
      </c>
      <c r="Y166" s="140">
        <f t="shared" si="61"/>
        <v>30.416769113715674</v>
      </c>
      <c r="Z166" s="22" t="s">
        <v>49</v>
      </c>
      <c r="AB166" s="44">
        <f t="shared" si="58"/>
        <v>-20.045576354869958</v>
      </c>
      <c r="AC166" s="51">
        <f>((AC139-AC137-AC138)/AC157)*100</f>
        <v>-3.6883703424915315</v>
      </c>
      <c r="AD166" s="51">
        <f>((AD139-AD137-AD138)/AD157)*100</f>
        <v>4.710632570659488</v>
      </c>
      <c r="AE166" s="51">
        <f>((AE136-AE137-AE138)/AE157)*100</f>
        <v>10.026385224274406</v>
      </c>
      <c r="AF166" s="51">
        <f>((AF136-AF137-AF138)/AF157)*100</f>
        <v>12.769396551724139</v>
      </c>
      <c r="AG166" s="51">
        <f>((AG136-AG137-AG138)/AG157)*100</f>
        <v>16.357206012378427</v>
      </c>
      <c r="AH166" s="140">
        <f t="shared" si="59"/>
        <v>8.035050003308985</v>
      </c>
      <c r="AI166" s="22" t="s">
        <v>54</v>
      </c>
      <c r="AJ166" s="25"/>
      <c r="AK166" s="44">
        <f t="shared" si="62"/>
        <v>12.048396854204478</v>
      </c>
      <c r="AL166" s="51">
        <f>AL136/AL137</f>
        <v>17.80701754385965</v>
      </c>
      <c r="AM166" s="51">
        <f>AM136/AM137</f>
        <v>31.31578947368421</v>
      </c>
      <c r="AN166" s="51">
        <f>AN136/AN137</f>
        <v>19.466666666666665</v>
      </c>
      <c r="AO166" s="51">
        <f>AO136/AO137</f>
        <v>10</v>
      </c>
      <c r="AP166" s="51">
        <f>AP136/AP137</f>
        <v>5.758620689655173</v>
      </c>
      <c r="AQ166" s="140">
        <f t="shared" si="63"/>
        <v>16.869618874773142</v>
      </c>
      <c r="AR166" s="22" t="s">
        <v>54</v>
      </c>
      <c r="AT166" s="44">
        <f t="shared" si="64"/>
        <v>18.06753521541186</v>
      </c>
      <c r="AU166" s="51">
        <f>AU136/AU137</f>
        <v>28.30756843800322</v>
      </c>
      <c r="AV166" s="51">
        <f>AV136/AV137</f>
        <v>28.999112688553684</v>
      </c>
      <c r="AW166" s="51">
        <f>AW136/AW137</f>
        <v>36.88538681948424</v>
      </c>
      <c r="AX166" s="51">
        <f>AX136/AX137</f>
        <v>18.6454816285998</v>
      </c>
      <c r="AY166" s="51">
        <f>AY136/AY137</f>
        <v>10.240033222591363</v>
      </c>
      <c r="AZ166" s="140">
        <f t="shared" si="65"/>
        <v>24.61551655944646</v>
      </c>
    </row>
    <row r="167" spans="17:52" ht="12">
      <c r="Q167" s="22" t="s">
        <v>97</v>
      </c>
      <c r="S167" s="44">
        <f t="shared" si="60"/>
        <v>0.3120521958118019</v>
      </c>
      <c r="T167" s="51">
        <f>(T139/T132)*100</f>
        <v>17.82767223181731</v>
      </c>
      <c r="U167" s="51">
        <f>(U139/U132)*100</f>
        <v>16.95177754311862</v>
      </c>
      <c r="V167" s="51">
        <f>(V139/V132)*100</f>
        <v>24.545245222196638</v>
      </c>
      <c r="W167" s="51">
        <f>(W139/W132)*100</f>
        <v>16.250449155587496</v>
      </c>
      <c r="X167" s="51">
        <f>(X139/X132)*100</f>
        <v>17.515620036005508</v>
      </c>
      <c r="Y167" s="140">
        <f t="shared" si="61"/>
        <v>18.618152837745118</v>
      </c>
      <c r="Z167" s="22" t="s">
        <v>50</v>
      </c>
      <c r="AB167" s="44">
        <f t="shared" si="58"/>
        <v>-10.23362624354042</v>
      </c>
      <c r="AC167" s="51">
        <f>((AC139-AC137-AC138)/AC134)*100</f>
        <v>-4.495412844036697</v>
      </c>
      <c r="AD167" s="51">
        <f>((AD139-AD137-AD138)/AD134)*100</f>
        <v>4.658901830282862</v>
      </c>
      <c r="AE167" s="51">
        <f>((AE136-AE137-AE138)/AE134)*100</f>
        <v>6.952067325283571</v>
      </c>
      <c r="AF167" s="51">
        <f>((AF136-AF137-AF138)/AF134)*100</f>
        <v>7.75523560209424</v>
      </c>
      <c r="AG167" s="51">
        <f>((AG136-AG137-AG138)/AG134)*100</f>
        <v>5.738213399503723</v>
      </c>
      <c r="AH167" s="140">
        <f t="shared" si="59"/>
        <v>4.121801062625539</v>
      </c>
      <c r="AI167" s="22" t="s">
        <v>97</v>
      </c>
      <c r="AJ167" s="25"/>
      <c r="AK167" s="44">
        <f t="shared" si="62"/>
        <v>-31.45346399748454</v>
      </c>
      <c r="AL167" s="51">
        <f>(AL139/AL132)*100</f>
        <v>1.760821716801174</v>
      </c>
      <c r="AM167" s="51">
        <f>(AM139/AM132)*100</f>
        <v>18.328840970350406</v>
      </c>
      <c r="AN167" s="51">
        <f>(AN139/AN132)*100</f>
        <v>13.82219338092148</v>
      </c>
      <c r="AO167" s="51">
        <f>(AO139/AO132)*100</f>
        <v>9.046849757673666</v>
      </c>
      <c r="AP167" s="51">
        <f>(AP139/AP132)*100</f>
        <v>33.214285714285715</v>
      </c>
      <c r="AQ167" s="140">
        <f t="shared" si="63"/>
        <v>15.234598308006492</v>
      </c>
      <c r="AR167" s="22" t="s">
        <v>97</v>
      </c>
      <c r="AT167" s="44">
        <f t="shared" si="64"/>
        <v>15.417280850980209</v>
      </c>
      <c r="AU167" s="51">
        <f>(AU139/AU132)*100</f>
        <v>26.076171532206168</v>
      </c>
      <c r="AV167" s="51">
        <f>(AV139/AV132)*100</f>
        <v>28.022039249674986</v>
      </c>
      <c r="AW167" s="51">
        <f>(AW139/AW132)*100</f>
        <v>22.0642934747875</v>
      </c>
      <c r="AX167" s="51">
        <f>(AX139/AX132)*100</f>
        <v>17.95798702038028</v>
      </c>
      <c r="AY167" s="51">
        <f>(AY139/AY132)*100</f>
        <v>10.658890681225959</v>
      </c>
      <c r="AZ167" s="140">
        <f t="shared" si="65"/>
        <v>20.955876391654975</v>
      </c>
    </row>
    <row r="168" spans="17:52" ht="12">
      <c r="Q168" s="22" t="s">
        <v>86</v>
      </c>
      <c r="S168" s="44">
        <f t="shared" si="60"/>
        <v>1.9303089896841712</v>
      </c>
      <c r="T168" s="51">
        <f>(T136/T134)*100</f>
        <v>33.7720625315179</v>
      </c>
      <c r="U168" s="51">
        <f>(U136/U134)*100</f>
        <v>33.62409730140631</v>
      </c>
      <c r="V168" s="51">
        <f>(V136/V134)*100</f>
        <v>32.86577424795576</v>
      </c>
      <c r="W168" s="51">
        <f>(W136/W134)*100</f>
        <v>32.44735276621059</v>
      </c>
      <c r="X168" s="51">
        <f>(X136/X134)*100</f>
        <v>31.841753541833732</v>
      </c>
      <c r="Y168" s="140">
        <f t="shared" si="61"/>
        <v>32.91020807778486</v>
      </c>
      <c r="AH168" s="137"/>
      <c r="AI168" s="22" t="s">
        <v>86</v>
      </c>
      <c r="AJ168" s="25"/>
      <c r="AK168" s="44">
        <f t="shared" si="62"/>
        <v>36.19983153868919</v>
      </c>
      <c r="AL168" s="51">
        <f>(AL136/AL134)*100</f>
        <v>46.559633027522935</v>
      </c>
      <c r="AM168" s="51">
        <f>(AM136/AM134)*100</f>
        <v>39.60066555740433</v>
      </c>
      <c r="AN168" s="51">
        <f>(AN136/AN134)*100</f>
        <v>10.684229784120014</v>
      </c>
      <c r="AO168" s="51">
        <f>(AO136/AO134)*100</f>
        <v>12.43455497382199</v>
      </c>
      <c r="AP168" s="51">
        <f>(AP136/AP134)*100</f>
        <v>10.359801488833748</v>
      </c>
      <c r="AQ168" s="140">
        <f t="shared" si="63"/>
        <v>23.927776966340605</v>
      </c>
      <c r="AR168" s="22" t="s">
        <v>86</v>
      </c>
      <c r="AT168" s="44">
        <f t="shared" si="64"/>
        <v>4.842670645278826</v>
      </c>
      <c r="AU168" s="51">
        <f>(AU136/AU134)*100</f>
        <v>12.992512989556618</v>
      </c>
      <c r="AV168" s="51">
        <f>(AV136/AV134)*100</f>
        <v>13.39711741846623</v>
      </c>
      <c r="AW168" s="51">
        <f>(AW136/AW134)*100</f>
        <v>13.2085635571699</v>
      </c>
      <c r="AX168" s="51">
        <f>(AX136/AX134)*100</f>
        <v>11.269228691638707</v>
      </c>
      <c r="AY168" s="51">
        <f>(AY136/AY134)*100</f>
        <v>8.149842344277792</v>
      </c>
      <c r="AZ168" s="140">
        <f t="shared" si="65"/>
        <v>11.80345300022185</v>
      </c>
    </row>
    <row r="169" spans="17:52" ht="12">
      <c r="Q169" s="22" t="s">
        <v>23</v>
      </c>
      <c r="S169" s="44">
        <f t="shared" si="60"/>
        <v>-0.2636292689107127</v>
      </c>
      <c r="T169" s="51">
        <f>T128/T130</f>
        <v>1.3228388953854457</v>
      </c>
      <c r="U169" s="51">
        <f>U128/U130</f>
        <v>1.502398831873175</v>
      </c>
      <c r="V169" s="51">
        <f>V128/V130</f>
        <v>1.6936739659367397</v>
      </c>
      <c r="W169" s="51">
        <f>W128/W130</f>
        <v>1.5578542217945635</v>
      </c>
      <c r="X169" s="51">
        <f>X128/X130</f>
        <v>1.5864681642961584</v>
      </c>
      <c r="Y169" s="140">
        <f t="shared" si="61"/>
        <v>1.5326468158572166</v>
      </c>
      <c r="AH169" s="137"/>
      <c r="AI169" s="22" t="s">
        <v>23</v>
      </c>
      <c r="AJ169" s="25"/>
      <c r="AK169" s="44">
        <f t="shared" si="62"/>
        <v>0.8910017768000675</v>
      </c>
      <c r="AL169" s="51">
        <f>AL128/AL130</f>
        <v>1.2825112107623318</v>
      </c>
      <c r="AM169" s="51">
        <f>AM128/AM130</f>
        <v>1.396265560165975</v>
      </c>
      <c r="AN169" s="51">
        <f>AN128/AN130</f>
        <v>0.31596638655462184</v>
      </c>
      <c r="AO169" s="51">
        <f>AO128/AO130</f>
        <v>0.46206896551724136</v>
      </c>
      <c r="AP169" s="51">
        <f>AP128/AP130</f>
        <v>0.3915094339622642</v>
      </c>
      <c r="AQ169" s="140">
        <f t="shared" si="63"/>
        <v>0.7696643113924868</v>
      </c>
      <c r="AR169" s="22" t="s">
        <v>23</v>
      </c>
      <c r="AT169" s="44">
        <f t="shared" si="64"/>
        <v>0.1605479807009471</v>
      </c>
      <c r="AU169" s="51">
        <f>AU128/AU130</f>
        <v>0.9862280538659726</v>
      </c>
      <c r="AV169" s="51">
        <f>AV128/AV130</f>
        <v>1.0530511769724604</v>
      </c>
      <c r="AW169" s="51">
        <f>AW128/AW130</f>
        <v>0.9733390362132877</v>
      </c>
      <c r="AX169" s="51">
        <f>AX128/AX130</f>
        <v>0.9054094771307475</v>
      </c>
      <c r="AY169" s="51">
        <f>AY128/AY130</f>
        <v>0.8256800731650255</v>
      </c>
      <c r="AZ169" s="140">
        <f t="shared" si="65"/>
        <v>0.9487415634694987</v>
      </c>
    </row>
    <row r="170" spans="17:52" ht="12">
      <c r="Q170" s="22" t="s">
        <v>49</v>
      </c>
      <c r="S170" s="44">
        <f t="shared" si="60"/>
        <v>5.412198436025237</v>
      </c>
      <c r="T170" s="51">
        <f>((T139+T137+T138)/T161)*100</f>
        <v>19.800243976822202</v>
      </c>
      <c r="U170" s="51">
        <f>((U139+U137+U138)/U161)*100</f>
        <v>17.01893179045145</v>
      </c>
      <c r="V170" s="51">
        <f>((V139+V137+V138)/V161)*100</f>
        <v>22.514850662568023</v>
      </c>
      <c r="W170" s="51">
        <f>((W139+W137+W138)/W161)*100</f>
        <v>13.557267769024328</v>
      </c>
      <c r="X170" s="51">
        <f>((X139+X137+X138)/X161)*100</f>
        <v>14.388045540796965</v>
      </c>
      <c r="Y170" s="140">
        <f t="shared" si="61"/>
        <v>17.455867947932596</v>
      </c>
      <c r="AH170" s="137"/>
      <c r="AI170" s="22" t="s">
        <v>49</v>
      </c>
      <c r="AJ170" s="25"/>
      <c r="AK170" s="44">
        <f t="shared" si="62"/>
        <v>-24.124886400203387</v>
      </c>
      <c r="AL170" s="51">
        <f>((AL139+AL137+AL138)/AL161)*100</f>
        <v>5.494919081671058</v>
      </c>
      <c r="AM170" s="51">
        <f>((AM139+AM137+AM138)/AM161)*100</f>
        <v>13.593539703903096</v>
      </c>
      <c r="AN170" s="51">
        <f>((AN139+AN137+AN138)/AN161)*100</f>
        <v>16.62269129287599</v>
      </c>
      <c r="AO170" s="51">
        <f>((AO139+AO137+AO138)/AO161)*100</f>
        <v>13.739224137931034</v>
      </c>
      <c r="AP170" s="51">
        <f>((AP139+AP137+AP138)/AP161)*100</f>
        <v>29.619805481874444</v>
      </c>
      <c r="AQ170" s="140">
        <f t="shared" si="63"/>
        <v>15.814035939651125</v>
      </c>
      <c r="AR170" s="22" t="s">
        <v>49</v>
      </c>
      <c r="AT170" s="44">
        <f t="shared" si="64"/>
        <v>15.883451721840833</v>
      </c>
      <c r="AU170" s="51">
        <f>((AU139+AU137+AU138)/AU161)*100</f>
        <v>26.184268778592156</v>
      </c>
      <c r="AV170" s="51">
        <f>((AV139+AV137+AV138)/AV161)*100</f>
        <v>24.211878863067415</v>
      </c>
      <c r="AW170" s="51">
        <f>((AW139+AW137+AW138)/AW161)*100</f>
        <v>18.51502615890011</v>
      </c>
      <c r="AX170" s="51">
        <f>((AX139+AX137+AX138)/AX161)*100</f>
        <v>15.018580695635167</v>
      </c>
      <c r="AY170" s="51">
        <f>((AY139+AY137+AY138)/AY161)*100</f>
        <v>10.300817056751322</v>
      </c>
      <c r="AZ170" s="140">
        <f t="shared" si="65"/>
        <v>18.846114310589236</v>
      </c>
    </row>
    <row r="171" spans="17:52" ht="12">
      <c r="Q171" s="22" t="s">
        <v>50</v>
      </c>
      <c r="S171" s="44">
        <f t="shared" si="60"/>
        <v>0.6234212403936521</v>
      </c>
      <c r="T171" s="51">
        <f>((T139+T137+T138)/T134)*100</f>
        <v>8.730879139351151</v>
      </c>
      <c r="U171" s="51">
        <f>((U139+U137+U138)/U134)*100</f>
        <v>8.21740782972254</v>
      </c>
      <c r="V171" s="51">
        <f>((V139+V137+V138)/V134)*100</f>
        <v>11.571553619846709</v>
      </c>
      <c r="W171" s="51">
        <f>((W139+W137+W138)/W134)*100</f>
        <v>7.452706722189173</v>
      </c>
      <c r="X171" s="51">
        <f>((X139+X137+X138)/X134)*100</f>
        <v>8.107457898957499</v>
      </c>
      <c r="Y171" s="140">
        <f t="shared" si="61"/>
        <v>8.816001042013415</v>
      </c>
      <c r="AH171" s="137"/>
      <c r="AI171" s="22" t="s">
        <v>50</v>
      </c>
      <c r="AJ171" s="25"/>
      <c r="AK171" s="44">
        <f t="shared" si="62"/>
        <v>-3.693571152138775</v>
      </c>
      <c r="AL171" s="51">
        <f>((AL139+AL137+AL138)/AL134)*100</f>
        <v>6.697247706422019</v>
      </c>
      <c r="AM171" s="51">
        <f>((AM139+AM137+AM138)/AM134)*100</f>
        <v>13.444259567387688</v>
      </c>
      <c r="AN171" s="51">
        <f>((AN139+AN137+AN138)/AN134)*100</f>
        <v>11.525795828759605</v>
      </c>
      <c r="AO171" s="51">
        <f>((AO139+AO137+AO138)/AO134)*100</f>
        <v>8.344240837696335</v>
      </c>
      <c r="AP171" s="51">
        <f>((AP139+AP137+AP138)/AP134)*100</f>
        <v>10.390818858560793</v>
      </c>
      <c r="AQ171" s="140">
        <f t="shared" si="63"/>
        <v>10.080472559765287</v>
      </c>
      <c r="AR171" s="22" t="s">
        <v>50</v>
      </c>
      <c r="AT171" s="44">
        <f t="shared" si="64"/>
        <v>6.3859608604618465</v>
      </c>
      <c r="AU171" s="51">
        <f>((AU139+AU137+AU138)/AU134)*100</f>
        <v>13.769669108136673</v>
      </c>
      <c r="AV171" s="51">
        <f>((AV139+AV137+AV138)/AV134)*100</f>
        <v>13.440159378228147</v>
      </c>
      <c r="AW171" s="51">
        <f>((AW139+AW137+AW138)/AW134)*100</f>
        <v>12.491342557677806</v>
      </c>
      <c r="AX171" s="51">
        <f>((AX139+AX137+AX138)/AX134)*100</f>
        <v>11.060961629644746</v>
      </c>
      <c r="AY171" s="51">
        <f>((AY139+AY137+AY138)/AY134)*100</f>
        <v>7.383708247674827</v>
      </c>
      <c r="AZ171" s="140">
        <f t="shared" si="65"/>
        <v>11.629168184272439</v>
      </c>
    </row>
    <row r="172" spans="17:52" ht="12">
      <c r="Q172" s="22"/>
      <c r="T172" s="51"/>
      <c r="U172" s="51"/>
      <c r="V172" s="51"/>
      <c r="W172" s="51"/>
      <c r="X172" s="51"/>
      <c r="Y172" s="140"/>
      <c r="AH172" s="137"/>
      <c r="AI172" s="22"/>
      <c r="AJ172" s="25"/>
      <c r="AK172" s="44"/>
      <c r="AL172" s="51"/>
      <c r="AM172" s="51"/>
      <c r="AN172" s="51"/>
      <c r="AO172" s="51"/>
      <c r="AP172" s="51"/>
      <c r="AQ172" s="140"/>
      <c r="AR172" s="22"/>
      <c r="AT172" s="44"/>
      <c r="AU172" s="51"/>
      <c r="AV172" s="51"/>
      <c r="AW172" s="51"/>
      <c r="AX172" s="51"/>
      <c r="AY172" s="51"/>
      <c r="AZ172" s="140"/>
    </row>
    <row r="173" spans="17:52" ht="12">
      <c r="Q173" s="22"/>
      <c r="T173" s="51"/>
      <c r="U173" s="51"/>
      <c r="V173" s="51"/>
      <c r="W173" s="51"/>
      <c r="X173" s="51"/>
      <c r="Y173" s="140"/>
      <c r="AH173" s="137"/>
      <c r="AI173" s="25"/>
      <c r="AJ173" s="25"/>
      <c r="AK173" s="25"/>
      <c r="AL173" s="25"/>
      <c r="AM173" s="25"/>
      <c r="AN173" s="25"/>
      <c r="AO173" s="25"/>
      <c r="AP173" s="25"/>
      <c r="AQ173" s="137"/>
      <c r="AR173" s="22"/>
      <c r="AT173" s="44"/>
      <c r="AU173" s="51"/>
      <c r="AV173" s="51"/>
      <c r="AW173" s="51"/>
      <c r="AX173" s="51"/>
      <c r="AY173" s="51"/>
      <c r="AZ173" s="140"/>
    </row>
    <row r="174" spans="34:52" ht="12">
      <c r="AH174" s="137"/>
      <c r="AI174" s="25"/>
      <c r="AJ174" s="25"/>
      <c r="AK174" s="25"/>
      <c r="AL174" s="25"/>
      <c r="AM174" s="25"/>
      <c r="AN174" s="25"/>
      <c r="AO174" s="25"/>
      <c r="AP174" s="25"/>
      <c r="AQ174" s="137"/>
      <c r="AR174" s="22"/>
      <c r="AT174" s="44"/>
      <c r="AU174" s="51"/>
      <c r="AV174" s="51"/>
      <c r="AW174" s="51"/>
      <c r="AX174" s="51"/>
      <c r="AY174" s="51"/>
      <c r="AZ174" s="140"/>
    </row>
    <row r="175" spans="35:42" ht="12">
      <c r="AI175" s="25"/>
      <c r="AJ175" s="25"/>
      <c r="AK175" s="25"/>
      <c r="AL175" s="25"/>
      <c r="AM175" s="25"/>
      <c r="AN175" s="25"/>
      <c r="AO175" s="25"/>
      <c r="AP175" s="25"/>
    </row>
    <row r="176" spans="21:48" ht="12">
      <c r="U176" s="145" t="s">
        <v>223</v>
      </c>
      <c r="AI176" s="25"/>
      <c r="AJ176" s="25"/>
      <c r="AK176" s="25"/>
      <c r="AL176" s="25"/>
      <c r="AM176" s="145" t="s">
        <v>234</v>
      </c>
      <c r="AN176" s="25"/>
      <c r="AO176" s="25"/>
      <c r="AP176" s="25"/>
      <c r="AV176" s="145" t="s">
        <v>245</v>
      </c>
    </row>
    <row r="177" spans="17:54" ht="12">
      <c r="Q177" s="23" t="s">
        <v>123</v>
      </c>
      <c r="R177" s="23"/>
      <c r="S177" s="23"/>
      <c r="T177" s="23"/>
      <c r="U177" s="23"/>
      <c r="V177" s="23"/>
      <c r="W177" s="23"/>
      <c r="X177" s="23"/>
      <c r="Y177" s="136"/>
      <c r="Z177" s="23" t="s">
        <v>139</v>
      </c>
      <c r="AA177" s="23"/>
      <c r="AB177" s="23"/>
      <c r="AC177" s="23"/>
      <c r="AD177" s="23"/>
      <c r="AE177" s="23"/>
      <c r="AF177" s="23"/>
      <c r="AG177" s="23"/>
      <c r="AH177" s="136"/>
      <c r="AI177" s="23" t="s">
        <v>139</v>
      </c>
      <c r="AJ177" s="23"/>
      <c r="AK177" s="23"/>
      <c r="AL177" s="23"/>
      <c r="AM177" s="23"/>
      <c r="AN177" s="23"/>
      <c r="AO177" s="23"/>
      <c r="AP177" s="23"/>
      <c r="AQ177" s="136"/>
      <c r="AR177" s="59" t="s">
        <v>155</v>
      </c>
      <c r="AS177" s="59"/>
      <c r="AT177" s="59"/>
      <c r="AU177" s="59"/>
      <c r="AV177" s="59"/>
      <c r="AW177" s="59"/>
      <c r="AX177" s="59"/>
      <c r="AY177" s="59"/>
      <c r="AZ177" s="136"/>
      <c r="BA177" s="136" t="s">
        <v>155</v>
      </c>
      <c r="BB177" s="136"/>
    </row>
    <row r="178" spans="8:53" ht="12">
      <c r="H178" s="59" t="s">
        <v>128</v>
      </c>
      <c r="I178" s="59"/>
      <c r="J178" s="59"/>
      <c r="K178" s="59"/>
      <c r="L178" s="59"/>
      <c r="M178" s="59"/>
      <c r="N178" s="59"/>
      <c r="O178" s="59"/>
      <c r="P178" s="59"/>
      <c r="AH178" s="137"/>
      <c r="AI178" s="22" t="s">
        <v>220</v>
      </c>
      <c r="AJ178" s="25"/>
      <c r="AK178" s="25"/>
      <c r="AL178" s="25"/>
      <c r="AM178" s="25"/>
      <c r="AN178" s="25"/>
      <c r="AO178" s="25"/>
      <c r="AP178" s="25"/>
      <c r="AQ178" s="137"/>
      <c r="AR178" s="60"/>
      <c r="AS178" s="60"/>
      <c r="AT178" s="60"/>
      <c r="AU178" s="60"/>
      <c r="AV178" s="60"/>
      <c r="AW178" s="60"/>
      <c r="AX178" s="60"/>
      <c r="AY178" s="60"/>
      <c r="AZ178" s="137"/>
      <c r="BA178" s="139" t="s">
        <v>220</v>
      </c>
    </row>
    <row r="179" spans="8:61" ht="12">
      <c r="H179" s="60"/>
      <c r="I179" s="60"/>
      <c r="J179" s="60"/>
      <c r="K179" s="60"/>
      <c r="L179" s="60"/>
      <c r="M179" s="60"/>
      <c r="N179" s="60"/>
      <c r="O179" s="60"/>
      <c r="P179" s="61"/>
      <c r="Q179" s="25" t="s">
        <v>22</v>
      </c>
      <c r="Z179" s="25" t="s">
        <v>22</v>
      </c>
      <c r="AH179" s="137"/>
      <c r="AI179" s="25" t="s">
        <v>22</v>
      </c>
      <c r="AJ179" s="25"/>
      <c r="AK179" s="25"/>
      <c r="AL179" s="25"/>
      <c r="AM179" s="25"/>
      <c r="AN179" s="25"/>
      <c r="AO179" s="25"/>
      <c r="AP179" s="25"/>
      <c r="AQ179" s="137"/>
      <c r="AR179" s="60" t="s">
        <v>22</v>
      </c>
      <c r="AS179" s="60"/>
      <c r="AT179" s="60"/>
      <c r="AU179" s="60"/>
      <c r="AV179" s="60"/>
      <c r="AW179" s="60"/>
      <c r="AX179" s="60"/>
      <c r="AY179" s="60"/>
      <c r="AZ179" s="137"/>
      <c r="BA179" s="133" t="s">
        <v>22</v>
      </c>
      <c r="BC179" s="136"/>
      <c r="BD179" s="136"/>
      <c r="BE179" s="136"/>
      <c r="BF179" s="136"/>
      <c r="BG179" s="136"/>
      <c r="BH179" s="136"/>
      <c r="BI179" s="136"/>
    </row>
    <row r="180" spans="8:61" ht="12">
      <c r="H180" s="60" t="s">
        <v>22</v>
      </c>
      <c r="I180" s="60"/>
      <c r="J180" s="60"/>
      <c r="K180" s="60"/>
      <c r="L180" s="60"/>
      <c r="M180" s="60"/>
      <c r="N180" s="60"/>
      <c r="O180" s="60"/>
      <c r="P180" s="61"/>
      <c r="Q180" s="25" t="s">
        <v>114</v>
      </c>
      <c r="Z180" s="25" t="s">
        <v>114</v>
      </c>
      <c r="AH180" s="137"/>
      <c r="AI180" s="25" t="s">
        <v>114</v>
      </c>
      <c r="AJ180" s="25"/>
      <c r="AK180" s="25"/>
      <c r="AL180" s="25"/>
      <c r="AM180" s="25"/>
      <c r="AN180" s="25"/>
      <c r="AO180" s="25"/>
      <c r="AP180" s="25"/>
      <c r="AQ180" s="137"/>
      <c r="AR180" s="60" t="s">
        <v>114</v>
      </c>
      <c r="AS180" s="60"/>
      <c r="AT180" s="60"/>
      <c r="AU180" s="60"/>
      <c r="AV180" s="60"/>
      <c r="AW180" s="60"/>
      <c r="AX180" s="60"/>
      <c r="AY180" s="60"/>
      <c r="AZ180" s="137"/>
      <c r="BA180" s="133" t="s">
        <v>114</v>
      </c>
      <c r="BI180" s="137"/>
    </row>
    <row r="181" spans="8:61" ht="12">
      <c r="H181" s="60" t="s">
        <v>114</v>
      </c>
      <c r="I181" s="60"/>
      <c r="J181" s="60"/>
      <c r="K181" s="60"/>
      <c r="L181" s="60"/>
      <c r="M181" s="60"/>
      <c r="N181" s="60"/>
      <c r="O181" s="60"/>
      <c r="P181" s="61"/>
      <c r="Q181" s="25" t="s">
        <v>52</v>
      </c>
      <c r="Z181" s="25" t="s">
        <v>52</v>
      </c>
      <c r="AH181" s="137"/>
      <c r="AI181" s="25" t="s">
        <v>52</v>
      </c>
      <c r="AJ181" s="25"/>
      <c r="AK181" s="25"/>
      <c r="AL181" s="25"/>
      <c r="AM181" s="25"/>
      <c r="AN181" s="25"/>
      <c r="AO181" s="25"/>
      <c r="AP181" s="25"/>
      <c r="AQ181" s="137"/>
      <c r="AR181" s="60" t="s">
        <v>52</v>
      </c>
      <c r="AS181" s="60"/>
      <c r="AT181" s="60"/>
      <c r="AU181" s="60"/>
      <c r="AV181" s="60"/>
      <c r="AW181" s="60"/>
      <c r="AX181" s="60"/>
      <c r="AY181" s="60"/>
      <c r="AZ181" s="137"/>
      <c r="BA181" s="133" t="s">
        <v>52</v>
      </c>
      <c r="BI181" s="137"/>
    </row>
    <row r="182" spans="8:61" ht="12">
      <c r="H182" s="60" t="s">
        <v>52</v>
      </c>
      <c r="I182" s="60"/>
      <c r="J182" s="60"/>
      <c r="K182" s="60"/>
      <c r="L182" s="60"/>
      <c r="M182" s="60"/>
      <c r="N182" s="60"/>
      <c r="O182" s="60"/>
      <c r="P182" s="61"/>
      <c r="AH182" s="137"/>
      <c r="AI182" s="25"/>
      <c r="AJ182" s="25"/>
      <c r="AK182" s="25"/>
      <c r="AL182" s="25"/>
      <c r="AM182" s="25"/>
      <c r="AN182" s="25"/>
      <c r="AO182" s="25"/>
      <c r="AP182" s="25"/>
      <c r="AQ182" s="137"/>
      <c r="AR182" s="60"/>
      <c r="AS182" s="60"/>
      <c r="AT182" s="60"/>
      <c r="AU182" s="60"/>
      <c r="AV182" s="60"/>
      <c r="AW182" s="60"/>
      <c r="AX182" s="60"/>
      <c r="AY182" s="60"/>
      <c r="AZ182" s="137"/>
      <c r="BI182" s="137"/>
    </row>
    <row r="183" spans="8:61" ht="12">
      <c r="H183" s="60"/>
      <c r="I183" s="60"/>
      <c r="J183" s="60"/>
      <c r="K183" s="60"/>
      <c r="L183" s="60"/>
      <c r="M183" s="60"/>
      <c r="N183" s="60"/>
      <c r="O183" s="60"/>
      <c r="P183" s="61"/>
      <c r="T183" s="28" t="s">
        <v>25</v>
      </c>
      <c r="U183" s="28" t="s">
        <v>25</v>
      </c>
      <c r="V183" s="28" t="s">
        <v>25</v>
      </c>
      <c r="W183" s="28" t="s">
        <v>25</v>
      </c>
      <c r="X183" s="28" t="s">
        <v>25</v>
      </c>
      <c r="Y183" s="138"/>
      <c r="AC183" s="28" t="s">
        <v>25</v>
      </c>
      <c r="AD183" s="28" t="s">
        <v>25</v>
      </c>
      <c r="AE183" s="28" t="s">
        <v>25</v>
      </c>
      <c r="AF183" s="28" t="s">
        <v>25</v>
      </c>
      <c r="AG183" s="28" t="s">
        <v>25</v>
      </c>
      <c r="AH183" s="138"/>
      <c r="AI183" s="25"/>
      <c r="AJ183" s="25"/>
      <c r="AK183" s="25"/>
      <c r="AL183" s="28" t="s">
        <v>25</v>
      </c>
      <c r="AM183" s="28" t="s">
        <v>25</v>
      </c>
      <c r="AN183" s="28" t="s">
        <v>25</v>
      </c>
      <c r="AO183" s="28" t="s">
        <v>25</v>
      </c>
      <c r="AP183" s="28" t="s">
        <v>25</v>
      </c>
      <c r="AQ183" s="138"/>
      <c r="AR183" s="60"/>
      <c r="AS183" s="60"/>
      <c r="AT183" s="60"/>
      <c r="AU183" s="62" t="s">
        <v>25</v>
      </c>
      <c r="AV183" s="62" t="s">
        <v>25</v>
      </c>
      <c r="AW183" s="62" t="s">
        <v>25</v>
      </c>
      <c r="AX183" s="62" t="s">
        <v>25</v>
      </c>
      <c r="AY183" s="62" t="s">
        <v>25</v>
      </c>
      <c r="AZ183" s="138"/>
      <c r="BD183" s="143" t="s">
        <v>25</v>
      </c>
      <c r="BE183" s="143" t="s">
        <v>25</v>
      </c>
      <c r="BF183" s="143" t="s">
        <v>25</v>
      </c>
      <c r="BG183" s="143" t="s">
        <v>25</v>
      </c>
      <c r="BH183" s="143" t="s">
        <v>25</v>
      </c>
      <c r="BI183" s="138"/>
    </row>
    <row r="184" spans="8:61" ht="12">
      <c r="H184" s="60"/>
      <c r="I184" s="60"/>
      <c r="J184" s="60"/>
      <c r="K184" s="62" t="s">
        <v>25</v>
      </c>
      <c r="L184" s="62" t="s">
        <v>25</v>
      </c>
      <c r="M184" s="62" t="s">
        <v>25</v>
      </c>
      <c r="N184" s="62" t="s">
        <v>25</v>
      </c>
      <c r="O184" s="62" t="s">
        <v>25</v>
      </c>
      <c r="P184" s="63"/>
      <c r="T184" s="28">
        <v>2006</v>
      </c>
      <c r="U184" s="28">
        <v>2005</v>
      </c>
      <c r="V184" s="28">
        <v>2004</v>
      </c>
      <c r="W184" s="28">
        <v>2003</v>
      </c>
      <c r="X184" s="28">
        <v>2002</v>
      </c>
      <c r="Y184" s="138" t="s">
        <v>117</v>
      </c>
      <c r="AC184" s="28">
        <v>2006</v>
      </c>
      <c r="AD184" s="28">
        <v>2005</v>
      </c>
      <c r="AE184" s="28">
        <v>2004</v>
      </c>
      <c r="AF184" s="28">
        <v>2003</v>
      </c>
      <c r="AG184" s="28">
        <v>2002</v>
      </c>
      <c r="AH184" s="138" t="s">
        <v>117</v>
      </c>
      <c r="AI184" s="25"/>
      <c r="AJ184" s="25"/>
      <c r="AK184" s="25"/>
      <c r="AL184" s="28">
        <v>2006</v>
      </c>
      <c r="AM184" s="28">
        <v>2005</v>
      </c>
      <c r="AN184" s="28">
        <v>2004</v>
      </c>
      <c r="AO184" s="28">
        <v>2003</v>
      </c>
      <c r="AP184" s="28">
        <v>2002</v>
      </c>
      <c r="AQ184" s="138" t="s">
        <v>117</v>
      </c>
      <c r="AR184" s="60"/>
      <c r="AS184" s="60"/>
      <c r="AT184" s="60"/>
      <c r="AU184" s="62">
        <v>2006</v>
      </c>
      <c r="AV184" s="62">
        <v>2005</v>
      </c>
      <c r="AW184" s="62">
        <v>2004</v>
      </c>
      <c r="AX184" s="62">
        <v>2003</v>
      </c>
      <c r="AY184" s="62">
        <v>2002</v>
      </c>
      <c r="AZ184" s="138" t="s">
        <v>117</v>
      </c>
      <c r="BD184" s="143">
        <v>2006</v>
      </c>
      <c r="BE184" s="143">
        <v>2005</v>
      </c>
      <c r="BF184" s="143">
        <v>2004</v>
      </c>
      <c r="BG184" s="143">
        <v>2003</v>
      </c>
      <c r="BH184" s="143">
        <v>2002</v>
      </c>
      <c r="BI184" s="138" t="s">
        <v>117</v>
      </c>
    </row>
    <row r="185" spans="8:61" ht="12">
      <c r="H185" s="60"/>
      <c r="I185" s="60"/>
      <c r="J185" s="60"/>
      <c r="K185" s="62">
        <v>2006</v>
      </c>
      <c r="L185" s="62">
        <v>2005</v>
      </c>
      <c r="M185" s="62">
        <v>2004</v>
      </c>
      <c r="N185" s="62">
        <v>2003</v>
      </c>
      <c r="O185" s="62">
        <v>2002</v>
      </c>
      <c r="P185" s="63" t="s">
        <v>117</v>
      </c>
      <c r="S185" s="22" t="s">
        <v>219</v>
      </c>
      <c r="T185" s="28" t="s">
        <v>71</v>
      </c>
      <c r="U185" s="28" t="s">
        <v>71</v>
      </c>
      <c r="V185" s="28" t="s">
        <v>71</v>
      </c>
      <c r="W185" s="28" t="s">
        <v>71</v>
      </c>
      <c r="X185" s="28" t="s">
        <v>71</v>
      </c>
      <c r="Y185" s="138" t="s">
        <v>71</v>
      </c>
      <c r="AB185" s="22" t="s">
        <v>219</v>
      </c>
      <c r="AC185" s="28" t="s">
        <v>71</v>
      </c>
      <c r="AD185" s="28" t="s">
        <v>71</v>
      </c>
      <c r="AE185" s="28" t="s">
        <v>71</v>
      </c>
      <c r="AF185" s="28" t="s">
        <v>71</v>
      </c>
      <c r="AG185" s="28" t="s">
        <v>71</v>
      </c>
      <c r="AH185" s="138" t="s">
        <v>71</v>
      </c>
      <c r="AI185" s="25"/>
      <c r="AJ185" s="25"/>
      <c r="AK185" s="22" t="s">
        <v>219</v>
      </c>
      <c r="AL185" s="28" t="s">
        <v>71</v>
      </c>
      <c r="AM185" s="28" t="s">
        <v>71</v>
      </c>
      <c r="AN185" s="28" t="s">
        <v>71</v>
      </c>
      <c r="AO185" s="28" t="s">
        <v>71</v>
      </c>
      <c r="AP185" s="28" t="s">
        <v>71</v>
      </c>
      <c r="AQ185" s="138" t="s">
        <v>71</v>
      </c>
      <c r="AR185" s="60"/>
      <c r="AS185" s="60"/>
      <c r="AT185" s="60"/>
      <c r="AU185" s="62" t="s">
        <v>71</v>
      </c>
      <c r="AV185" s="62" t="s">
        <v>71</v>
      </c>
      <c r="AW185" s="62" t="s">
        <v>71</v>
      </c>
      <c r="AX185" s="62" t="s">
        <v>71</v>
      </c>
      <c r="AY185" s="62" t="s">
        <v>71</v>
      </c>
      <c r="AZ185" s="138" t="s">
        <v>71</v>
      </c>
      <c r="BD185" s="143" t="s">
        <v>71</v>
      </c>
      <c r="BE185" s="143" t="s">
        <v>71</v>
      </c>
      <c r="BF185" s="143" t="s">
        <v>71</v>
      </c>
      <c r="BG185" s="143" t="s">
        <v>71</v>
      </c>
      <c r="BH185" s="143" t="s">
        <v>71</v>
      </c>
      <c r="BI185" s="138" t="s">
        <v>71</v>
      </c>
    </row>
    <row r="186" spans="8:61" ht="12">
      <c r="H186" s="60"/>
      <c r="I186" s="60"/>
      <c r="J186" s="60"/>
      <c r="K186" s="62" t="s">
        <v>71</v>
      </c>
      <c r="L186" s="62" t="s">
        <v>71</v>
      </c>
      <c r="M186" s="62" t="s">
        <v>71</v>
      </c>
      <c r="N186" s="62" t="s">
        <v>71</v>
      </c>
      <c r="O186" s="62" t="s">
        <v>71</v>
      </c>
      <c r="P186" s="63" t="s">
        <v>71</v>
      </c>
      <c r="T186" s="28" t="s">
        <v>38</v>
      </c>
      <c r="U186" s="28" t="s">
        <v>38</v>
      </c>
      <c r="V186" s="28" t="s">
        <v>38</v>
      </c>
      <c r="W186" s="28" t="s">
        <v>38</v>
      </c>
      <c r="X186" s="28" t="s">
        <v>38</v>
      </c>
      <c r="Y186" s="143" t="s">
        <v>38</v>
      </c>
      <c r="AC186" s="28" t="s">
        <v>68</v>
      </c>
      <c r="AD186" s="28" t="s">
        <v>68</v>
      </c>
      <c r="AE186" s="28" t="s">
        <v>68</v>
      </c>
      <c r="AF186" s="28" t="s">
        <v>68</v>
      </c>
      <c r="AG186" s="28" t="s">
        <v>68</v>
      </c>
      <c r="AH186" s="138" t="s">
        <v>68</v>
      </c>
      <c r="AI186" s="25"/>
      <c r="AJ186" s="25"/>
      <c r="AK186" s="25"/>
      <c r="AL186" s="28" t="s">
        <v>38</v>
      </c>
      <c r="AM186" s="28" t="s">
        <v>38</v>
      </c>
      <c r="AN186" s="28" t="s">
        <v>38</v>
      </c>
      <c r="AO186" s="28" t="s">
        <v>38</v>
      </c>
      <c r="AP186" s="28" t="s">
        <v>38</v>
      </c>
      <c r="AQ186" s="143" t="s">
        <v>38</v>
      </c>
      <c r="AR186" s="60"/>
      <c r="AS186" s="60"/>
      <c r="AT186" s="64" t="s">
        <v>219</v>
      </c>
      <c r="AU186" s="62" t="s">
        <v>68</v>
      </c>
      <c r="AV186" s="62" t="s">
        <v>68</v>
      </c>
      <c r="AW186" s="62" t="s">
        <v>68</v>
      </c>
      <c r="AX186" s="62" t="s">
        <v>68</v>
      </c>
      <c r="AY186" s="62" t="s">
        <v>68</v>
      </c>
      <c r="AZ186" s="138" t="s">
        <v>68</v>
      </c>
      <c r="BC186" s="139" t="s">
        <v>219</v>
      </c>
      <c r="BD186" s="143" t="s">
        <v>38</v>
      </c>
      <c r="BE186" s="143" t="s">
        <v>38</v>
      </c>
      <c r="BF186" s="143" t="s">
        <v>38</v>
      </c>
      <c r="BG186" s="143" t="s">
        <v>38</v>
      </c>
      <c r="BH186" s="143" t="s">
        <v>38</v>
      </c>
      <c r="BI186" s="143" t="s">
        <v>38</v>
      </c>
    </row>
    <row r="187" spans="8:61" ht="12">
      <c r="H187" s="60"/>
      <c r="I187" s="60"/>
      <c r="J187" s="60"/>
      <c r="K187" s="62" t="s">
        <v>38</v>
      </c>
      <c r="L187" s="62" t="s">
        <v>38</v>
      </c>
      <c r="M187" s="62" t="s">
        <v>38</v>
      </c>
      <c r="N187" s="62" t="s">
        <v>38</v>
      </c>
      <c r="O187" s="62" t="s">
        <v>38</v>
      </c>
      <c r="P187" s="62" t="s">
        <v>38</v>
      </c>
      <c r="Q187" s="25" t="s">
        <v>26</v>
      </c>
      <c r="R187" s="22"/>
      <c r="S187" s="132">
        <f>T187-X187</f>
        <v>445</v>
      </c>
      <c r="T187" s="42">
        <v>22538</v>
      </c>
      <c r="U187" s="42">
        <v>19320</v>
      </c>
      <c r="V187" s="42">
        <v>19479</v>
      </c>
      <c r="W187" s="42">
        <v>18293</v>
      </c>
      <c r="X187" s="42">
        <v>22093</v>
      </c>
      <c r="Y187" s="53">
        <f>AVERAGE(T187:X187)</f>
        <v>20344.6</v>
      </c>
      <c r="Z187" s="25" t="s">
        <v>26</v>
      </c>
      <c r="AA187" s="22"/>
      <c r="AB187" s="132">
        <f>AC187-AG187</f>
        <v>202</v>
      </c>
      <c r="AC187" s="42">
        <v>405</v>
      </c>
      <c r="AD187" s="42">
        <v>344</v>
      </c>
      <c r="AE187" s="42">
        <v>260</v>
      </c>
      <c r="AF187" s="42">
        <v>249</v>
      </c>
      <c r="AG187" s="42">
        <v>203</v>
      </c>
      <c r="AH187" s="53">
        <f>AVERAGE(AC187:AG187)</f>
        <v>292.2</v>
      </c>
      <c r="AI187" s="25" t="s">
        <v>26</v>
      </c>
      <c r="AJ187" s="22"/>
      <c r="AK187" s="132">
        <f>AL187-AP187</f>
        <v>404</v>
      </c>
      <c r="AL187" s="42">
        <f aca="true" t="shared" si="66" ref="AL187:AP191">2*AC187</f>
        <v>810</v>
      </c>
      <c r="AM187" s="42">
        <f t="shared" si="66"/>
        <v>688</v>
      </c>
      <c r="AN187" s="42">
        <f t="shared" si="66"/>
        <v>520</v>
      </c>
      <c r="AO187" s="42">
        <f t="shared" si="66"/>
        <v>498</v>
      </c>
      <c r="AP187" s="42">
        <f t="shared" si="66"/>
        <v>406</v>
      </c>
      <c r="AQ187" s="53">
        <f>AVERAGE(AL187:AP187)</f>
        <v>584.4</v>
      </c>
      <c r="AR187" s="60" t="s">
        <v>26</v>
      </c>
      <c r="AS187" s="64"/>
      <c r="AT187" s="132">
        <f>AU187-AY187</f>
        <v>-2494</v>
      </c>
      <c r="AU187" s="65">
        <v>4837</v>
      </c>
      <c r="AV187" s="65">
        <v>4733</v>
      </c>
      <c r="AW187" s="65">
        <v>5067</v>
      </c>
      <c r="AX187" s="65">
        <v>5823</v>
      </c>
      <c r="AY187" s="65">
        <v>7331</v>
      </c>
      <c r="AZ187" s="53">
        <f>AVERAGE(AU187:AY187)</f>
        <v>5558.2</v>
      </c>
      <c r="BA187" s="133" t="s">
        <v>26</v>
      </c>
      <c r="BB187" s="139"/>
      <c r="BC187" s="146">
        <f>BD187-BH187</f>
        <v>-4988</v>
      </c>
      <c r="BD187" s="147">
        <f aca="true" t="shared" si="67" ref="BD187:BH191">2*AU187</f>
        <v>9674</v>
      </c>
      <c r="BE187" s="147">
        <f t="shared" si="67"/>
        <v>9466</v>
      </c>
      <c r="BF187" s="147">
        <f t="shared" si="67"/>
        <v>10134</v>
      </c>
      <c r="BG187" s="147">
        <f t="shared" si="67"/>
        <v>11646</v>
      </c>
      <c r="BH187" s="147">
        <f t="shared" si="67"/>
        <v>14662</v>
      </c>
      <c r="BI187" s="53">
        <f>AVERAGE(BD187:BH187)</f>
        <v>11116.4</v>
      </c>
    </row>
    <row r="188" spans="8:61" ht="12">
      <c r="H188" s="60" t="s">
        <v>26</v>
      </c>
      <c r="I188" s="64"/>
      <c r="J188" s="64"/>
      <c r="K188" s="65">
        <v>11090</v>
      </c>
      <c r="L188" s="65">
        <v>11033</v>
      </c>
      <c r="M188" s="65">
        <v>16240</v>
      </c>
      <c r="N188" s="65">
        <v>16465</v>
      </c>
      <c r="O188" s="65">
        <v>14602</v>
      </c>
      <c r="P188" s="66">
        <f>AVERAGE(K188:O188)</f>
        <v>13886</v>
      </c>
      <c r="Q188" s="25" t="s">
        <v>93</v>
      </c>
      <c r="S188" s="132">
        <f>T188-X188</f>
        <v>21336</v>
      </c>
      <c r="T188" s="42">
        <v>188804</v>
      </c>
      <c r="U188" s="42">
        <v>168130</v>
      </c>
      <c r="V188" s="42">
        <v>165958</v>
      </c>
      <c r="W188" s="42">
        <v>165968</v>
      </c>
      <c r="X188" s="42">
        <v>167468</v>
      </c>
      <c r="Y188" s="53">
        <f>AVERAGE(T188:X188)</f>
        <v>171265.6</v>
      </c>
      <c r="Z188" s="25" t="s">
        <v>93</v>
      </c>
      <c r="AB188" s="132">
        <f>AC188-AG188</f>
        <v>513</v>
      </c>
      <c r="AC188" s="42">
        <v>1267</v>
      </c>
      <c r="AD188" s="42">
        <v>1127</v>
      </c>
      <c r="AE188" s="42">
        <v>929</v>
      </c>
      <c r="AF188" s="42">
        <f>563+AF187</f>
        <v>812</v>
      </c>
      <c r="AG188" s="42">
        <f>551+AG187</f>
        <v>754</v>
      </c>
      <c r="AH188" s="53">
        <f>AVERAGE(AC188:AG188)</f>
        <v>977.8</v>
      </c>
      <c r="AI188" s="25" t="s">
        <v>93</v>
      </c>
      <c r="AJ188" s="25"/>
      <c r="AK188" s="132">
        <f>AL188-AP188</f>
        <v>1026</v>
      </c>
      <c r="AL188" s="42">
        <f t="shared" si="66"/>
        <v>2534</v>
      </c>
      <c r="AM188" s="42">
        <f t="shared" si="66"/>
        <v>2254</v>
      </c>
      <c r="AN188" s="42">
        <f t="shared" si="66"/>
        <v>1858</v>
      </c>
      <c r="AO188" s="42">
        <f t="shared" si="66"/>
        <v>1624</v>
      </c>
      <c r="AP188" s="42">
        <f t="shared" si="66"/>
        <v>1508</v>
      </c>
      <c r="AQ188" s="53">
        <f>AVERAGE(AL188:AP188)</f>
        <v>1955.6</v>
      </c>
      <c r="AR188" s="60" t="s">
        <v>93</v>
      </c>
      <c r="AS188" s="60"/>
      <c r="AT188" s="132">
        <f>AU188-AY188</f>
        <v>-4566</v>
      </c>
      <c r="AU188" s="65">
        <v>13927</v>
      </c>
      <c r="AV188" s="65">
        <v>13921</v>
      </c>
      <c r="AW188" s="65">
        <f>9023+AW187</f>
        <v>14090</v>
      </c>
      <c r="AX188" s="65">
        <f>9365+AX187</f>
        <v>15188</v>
      </c>
      <c r="AY188" s="65">
        <f>11162+AY187</f>
        <v>18493</v>
      </c>
      <c r="AZ188" s="53">
        <f>AVERAGE(AU188:AY188)</f>
        <v>15123.8</v>
      </c>
      <c r="BA188" s="133" t="s">
        <v>93</v>
      </c>
      <c r="BC188" s="146">
        <f>BD188-BH188</f>
        <v>-9132</v>
      </c>
      <c r="BD188" s="147">
        <f t="shared" si="67"/>
        <v>27854</v>
      </c>
      <c r="BE188" s="147">
        <f t="shared" si="67"/>
        <v>27842</v>
      </c>
      <c r="BF188" s="147">
        <f t="shared" si="67"/>
        <v>28180</v>
      </c>
      <c r="BG188" s="147">
        <f t="shared" si="67"/>
        <v>30376</v>
      </c>
      <c r="BH188" s="147">
        <f t="shared" si="67"/>
        <v>36986</v>
      </c>
      <c r="BI188" s="53">
        <f>AVERAGE(BD188:BH188)</f>
        <v>30247.6</v>
      </c>
    </row>
    <row r="189" spans="8:61" ht="12">
      <c r="H189" s="60" t="s">
        <v>93</v>
      </c>
      <c r="I189" s="60"/>
      <c r="J189" s="60"/>
      <c r="K189" s="65">
        <v>16578</v>
      </c>
      <c r="L189" s="65">
        <v>16119</v>
      </c>
      <c r="M189" s="65">
        <v>22581</v>
      </c>
      <c r="N189" s="65">
        <v>23161</v>
      </c>
      <c r="O189" s="65">
        <v>19421</v>
      </c>
      <c r="P189" s="66">
        <f>AVERAGE(K189:O189)</f>
        <v>19572</v>
      </c>
      <c r="Q189" s="25" t="s">
        <v>72</v>
      </c>
      <c r="S189" s="132">
        <f>T189-X189</f>
        <v>4351</v>
      </c>
      <c r="T189" s="42">
        <v>32280</v>
      </c>
      <c r="U189" s="42">
        <v>26700</v>
      </c>
      <c r="V189" s="42">
        <v>23129</v>
      </c>
      <c r="W189" s="42">
        <v>26570</v>
      </c>
      <c r="X189" s="42">
        <v>27929</v>
      </c>
      <c r="Y189" s="53">
        <f>AVERAGE(T189:X189)</f>
        <v>27321.6</v>
      </c>
      <c r="Z189" s="25" t="s">
        <v>72</v>
      </c>
      <c r="AB189" s="132">
        <f>AC189-AG189</f>
        <v>273</v>
      </c>
      <c r="AC189" s="42">
        <v>534</v>
      </c>
      <c r="AD189" s="42">
        <v>462</v>
      </c>
      <c r="AE189" s="42">
        <v>372</v>
      </c>
      <c r="AF189" s="42">
        <v>300</v>
      </c>
      <c r="AG189" s="42">
        <v>261</v>
      </c>
      <c r="AH189" s="53">
        <f>AVERAGE(AC189:AG189)</f>
        <v>385.8</v>
      </c>
      <c r="AI189" s="25" t="s">
        <v>72</v>
      </c>
      <c r="AJ189" s="25"/>
      <c r="AK189" s="132">
        <f>AL189-AP189</f>
        <v>546</v>
      </c>
      <c r="AL189" s="42">
        <f t="shared" si="66"/>
        <v>1068</v>
      </c>
      <c r="AM189" s="42">
        <f t="shared" si="66"/>
        <v>924</v>
      </c>
      <c r="AN189" s="42">
        <f t="shared" si="66"/>
        <v>744</v>
      </c>
      <c r="AO189" s="42">
        <f t="shared" si="66"/>
        <v>600</v>
      </c>
      <c r="AP189" s="42">
        <f t="shared" si="66"/>
        <v>522</v>
      </c>
      <c r="AQ189" s="53">
        <f>AVERAGE(AL189:AP189)</f>
        <v>771.6</v>
      </c>
      <c r="AR189" s="60" t="s">
        <v>72</v>
      </c>
      <c r="AS189" s="60"/>
      <c r="AT189" s="132">
        <f>AU189-AY189</f>
        <v>-4028</v>
      </c>
      <c r="AU189" s="65">
        <v>3335</v>
      </c>
      <c r="AV189" s="65">
        <v>3606</v>
      </c>
      <c r="AW189" s="65">
        <v>5023</v>
      </c>
      <c r="AX189" s="65">
        <v>6846</v>
      </c>
      <c r="AY189" s="65">
        <v>7363</v>
      </c>
      <c r="AZ189" s="53">
        <f>AVERAGE(AU189:AY189)</f>
        <v>5234.6</v>
      </c>
      <c r="BA189" s="133" t="s">
        <v>72</v>
      </c>
      <c r="BC189" s="146">
        <f>BD189-BH189</f>
        <v>-8056</v>
      </c>
      <c r="BD189" s="147">
        <f t="shared" si="67"/>
        <v>6670</v>
      </c>
      <c r="BE189" s="147">
        <f t="shared" si="67"/>
        <v>7212</v>
      </c>
      <c r="BF189" s="147">
        <f t="shared" si="67"/>
        <v>10046</v>
      </c>
      <c r="BG189" s="147">
        <f t="shared" si="67"/>
        <v>13692</v>
      </c>
      <c r="BH189" s="147">
        <f t="shared" si="67"/>
        <v>14726</v>
      </c>
      <c r="BI189" s="53">
        <f>AVERAGE(BD189:BH189)</f>
        <v>10469.2</v>
      </c>
    </row>
    <row r="190" spans="8:61" ht="12">
      <c r="H190" s="60" t="s">
        <v>72</v>
      </c>
      <c r="I190" s="60"/>
      <c r="J190" s="60"/>
      <c r="K190" s="65">
        <v>73</v>
      </c>
      <c r="L190" s="65">
        <v>309</v>
      </c>
      <c r="M190" s="65">
        <v>424</v>
      </c>
      <c r="N190" s="65">
        <v>321</v>
      </c>
      <c r="O190" s="65">
        <v>724</v>
      </c>
      <c r="P190" s="66">
        <f>AVERAGE(K190:O190)</f>
        <v>370.2</v>
      </c>
      <c r="Q190" s="25" t="s">
        <v>35</v>
      </c>
      <c r="S190" s="132">
        <f>T190-X190</f>
        <v>5417</v>
      </c>
      <c r="T190" s="42">
        <f>188804-T191</f>
        <v>140269</v>
      </c>
      <c r="U190" s="42">
        <f>168130-U191</f>
        <v>128450</v>
      </c>
      <c r="V190" s="42">
        <f>165958-V191</f>
        <v>128398</v>
      </c>
      <c r="W190" s="42">
        <f>165968-W191</f>
        <v>132502</v>
      </c>
      <c r="X190" s="42">
        <f>167468-X191</f>
        <v>134852</v>
      </c>
      <c r="Y190" s="53">
        <f>AVERAGE(T190:X190)</f>
        <v>132894.2</v>
      </c>
      <c r="Z190" s="25" t="s">
        <v>35</v>
      </c>
      <c r="AB190" s="132">
        <f>AC190-AG190</f>
        <v>522</v>
      </c>
      <c r="AC190" s="42">
        <v>941</v>
      </c>
      <c r="AD190" s="42">
        <v>730</v>
      </c>
      <c r="AE190" s="42">
        <v>568</v>
      </c>
      <c r="AF190" s="42">
        <f>153+17+AF189</f>
        <v>470</v>
      </c>
      <c r="AG190" s="42">
        <f>158+AG189</f>
        <v>419</v>
      </c>
      <c r="AH190" s="53">
        <f>AVERAGE(AC190:AG190)</f>
        <v>625.6</v>
      </c>
      <c r="AI190" s="25" t="s">
        <v>35</v>
      </c>
      <c r="AJ190" s="25"/>
      <c r="AK190" s="132">
        <f>AL190-AP190</f>
        <v>1044</v>
      </c>
      <c r="AL190" s="42">
        <f t="shared" si="66"/>
        <v>1882</v>
      </c>
      <c r="AM190" s="42">
        <f t="shared" si="66"/>
        <v>1460</v>
      </c>
      <c r="AN190" s="42">
        <f t="shared" si="66"/>
        <v>1136</v>
      </c>
      <c r="AO190" s="42">
        <f t="shared" si="66"/>
        <v>940</v>
      </c>
      <c r="AP190" s="42">
        <f t="shared" si="66"/>
        <v>838</v>
      </c>
      <c r="AQ190" s="53">
        <f>AVERAGE(AL190:AP190)</f>
        <v>1251.2</v>
      </c>
      <c r="AR190" s="60" t="s">
        <v>35</v>
      </c>
      <c r="AS190" s="60"/>
      <c r="AT190" s="132">
        <f>AU190-AY190</f>
        <v>-1877</v>
      </c>
      <c r="AU190" s="65">
        <v>9246</v>
      </c>
      <c r="AV190" s="65">
        <v>9295</v>
      </c>
      <c r="AW190" s="65">
        <f>3316+109+AW189</f>
        <v>8448</v>
      </c>
      <c r="AX190" s="65">
        <f>2981+18+AX189</f>
        <v>9845</v>
      </c>
      <c r="AY190" s="65">
        <f>3711+49+AY189</f>
        <v>11123</v>
      </c>
      <c r="AZ190" s="53">
        <f>AVERAGE(AU190:AY190)</f>
        <v>9591.4</v>
      </c>
      <c r="BA190" s="133" t="s">
        <v>35</v>
      </c>
      <c r="BC190" s="146">
        <f>BD190-BH190</f>
        <v>-3754</v>
      </c>
      <c r="BD190" s="147">
        <f t="shared" si="67"/>
        <v>18492</v>
      </c>
      <c r="BE190" s="147">
        <f t="shared" si="67"/>
        <v>18590</v>
      </c>
      <c r="BF190" s="147">
        <f t="shared" si="67"/>
        <v>16896</v>
      </c>
      <c r="BG190" s="147">
        <f t="shared" si="67"/>
        <v>19690</v>
      </c>
      <c r="BH190" s="147">
        <f t="shared" si="67"/>
        <v>22246</v>
      </c>
      <c r="BI190" s="53">
        <f>AVERAGE(BD190:BH190)</f>
        <v>19182.8</v>
      </c>
    </row>
    <row r="191" spans="8:61" ht="12">
      <c r="H191" s="60" t="s">
        <v>35</v>
      </c>
      <c r="I191" s="60"/>
      <c r="J191" s="60"/>
      <c r="K191" s="65">
        <v>6067</v>
      </c>
      <c r="L191" s="65">
        <v>5570</v>
      </c>
      <c r="M191" s="65">
        <v>6561</v>
      </c>
      <c r="N191" s="65">
        <v>7838</v>
      </c>
      <c r="O191" s="65">
        <v>5560</v>
      </c>
      <c r="P191" s="66">
        <f>AVERAGE(K191:O191)</f>
        <v>6319.2</v>
      </c>
      <c r="Q191" s="25" t="s">
        <v>100</v>
      </c>
      <c r="S191" s="132">
        <f>T191-X191</f>
        <v>15919</v>
      </c>
      <c r="T191" s="42">
        <v>48535</v>
      </c>
      <c r="U191" s="42">
        <v>39680</v>
      </c>
      <c r="V191" s="42">
        <v>37560</v>
      </c>
      <c r="W191" s="42">
        <v>33466</v>
      </c>
      <c r="X191" s="42">
        <v>32616</v>
      </c>
      <c r="Y191" s="53">
        <f>AVERAGE(T191:X191)</f>
        <v>38371.4</v>
      </c>
      <c r="Z191" s="25" t="s">
        <v>100</v>
      </c>
      <c r="AB191" s="132">
        <f>AC191-AG191</f>
        <v>9</v>
      </c>
      <c r="AC191" s="42">
        <v>326</v>
      </c>
      <c r="AD191" s="42">
        <v>398</v>
      </c>
      <c r="AE191" s="42">
        <v>360</v>
      </c>
      <c r="AF191" s="42">
        <v>342</v>
      </c>
      <c r="AG191" s="42">
        <v>317</v>
      </c>
      <c r="AH191" s="53">
        <f>AVERAGE(AC191:AG191)</f>
        <v>348.6</v>
      </c>
      <c r="AI191" s="25" t="s">
        <v>100</v>
      </c>
      <c r="AJ191" s="25"/>
      <c r="AK191" s="132">
        <f>AL191-AP191</f>
        <v>18</v>
      </c>
      <c r="AL191" s="42">
        <f t="shared" si="66"/>
        <v>652</v>
      </c>
      <c r="AM191" s="42">
        <f t="shared" si="66"/>
        <v>796</v>
      </c>
      <c r="AN191" s="42">
        <f t="shared" si="66"/>
        <v>720</v>
      </c>
      <c r="AO191" s="42">
        <f t="shared" si="66"/>
        <v>684</v>
      </c>
      <c r="AP191" s="42">
        <f t="shared" si="66"/>
        <v>634</v>
      </c>
      <c r="AQ191" s="53">
        <f>AVERAGE(AL191:AP191)</f>
        <v>697.2</v>
      </c>
      <c r="AR191" s="60" t="s">
        <v>100</v>
      </c>
      <c r="AS191" s="60"/>
      <c r="AT191" s="132">
        <f>AU191-AY191</f>
        <v>-1320</v>
      </c>
      <c r="AU191" s="65">
        <v>4681</v>
      </c>
      <c r="AV191" s="65">
        <v>4626</v>
      </c>
      <c r="AW191" s="65">
        <v>3692</v>
      </c>
      <c r="AX191" s="65">
        <v>2801</v>
      </c>
      <c r="AY191" s="65">
        <v>6001</v>
      </c>
      <c r="AZ191" s="53">
        <f>AVERAGE(AU191:AY191)</f>
        <v>4360.2</v>
      </c>
      <c r="BA191" s="133" t="s">
        <v>100</v>
      </c>
      <c r="BC191" s="146">
        <f>BD191-BH191</f>
        <v>-2640</v>
      </c>
      <c r="BD191" s="147">
        <f t="shared" si="67"/>
        <v>9362</v>
      </c>
      <c r="BE191" s="147">
        <f t="shared" si="67"/>
        <v>9252</v>
      </c>
      <c r="BF191" s="147">
        <f t="shared" si="67"/>
        <v>7384</v>
      </c>
      <c r="BG191" s="147">
        <f t="shared" si="67"/>
        <v>5602</v>
      </c>
      <c r="BH191" s="147">
        <f t="shared" si="67"/>
        <v>12002</v>
      </c>
      <c r="BI191" s="53">
        <f>AVERAGE(BD191:BH191)</f>
        <v>8720.4</v>
      </c>
    </row>
    <row r="192" spans="8:61" ht="12">
      <c r="H192" s="60" t="s">
        <v>100</v>
      </c>
      <c r="I192" s="60"/>
      <c r="J192" s="60"/>
      <c r="K192" s="65">
        <v>10511</v>
      </c>
      <c r="L192" s="65">
        <v>10549</v>
      </c>
      <c r="M192" s="65">
        <v>16020</v>
      </c>
      <c r="N192" s="65">
        <v>15323</v>
      </c>
      <c r="O192" s="65">
        <v>13861</v>
      </c>
      <c r="P192" s="66">
        <f>AVERAGE(K192:O192)</f>
        <v>13252.8</v>
      </c>
      <c r="Q192" s="22"/>
      <c r="R192" s="22"/>
      <c r="S192" s="22"/>
      <c r="T192" s="42"/>
      <c r="U192" s="42"/>
      <c r="V192" s="42"/>
      <c r="W192" s="42"/>
      <c r="X192" s="42"/>
      <c r="Y192" s="53"/>
      <c r="Z192" s="22"/>
      <c r="AA192" s="22"/>
      <c r="AB192" s="22"/>
      <c r="AC192" s="42"/>
      <c r="AD192" s="42"/>
      <c r="AE192" s="42"/>
      <c r="AF192" s="42"/>
      <c r="AG192" s="42"/>
      <c r="AH192" s="53"/>
      <c r="AI192" s="22"/>
      <c r="AJ192" s="22"/>
      <c r="AK192" s="22"/>
      <c r="AL192" s="42"/>
      <c r="AM192" s="42"/>
      <c r="AN192" s="42"/>
      <c r="AO192" s="42"/>
      <c r="AP192" s="42"/>
      <c r="AQ192" s="53"/>
      <c r="AR192" s="64"/>
      <c r="AS192" s="64"/>
      <c r="AT192" s="64"/>
      <c r="AU192" s="65"/>
      <c r="AV192" s="65"/>
      <c r="AW192" s="65"/>
      <c r="AX192" s="65"/>
      <c r="AY192" s="65"/>
      <c r="AZ192" s="53"/>
      <c r="BA192" s="139"/>
      <c r="BB192" s="139"/>
      <c r="BC192" s="139"/>
      <c r="BD192" s="147"/>
      <c r="BE192" s="147"/>
      <c r="BF192" s="147"/>
      <c r="BG192" s="147"/>
      <c r="BH192" s="147"/>
      <c r="BI192" s="53"/>
    </row>
    <row r="193" spans="8:61" ht="12">
      <c r="H193" s="64"/>
      <c r="I193" s="64"/>
      <c r="J193" s="64"/>
      <c r="K193" s="65"/>
      <c r="L193" s="65"/>
      <c r="M193" s="65"/>
      <c r="N193" s="65"/>
      <c r="O193" s="65"/>
      <c r="P193" s="66"/>
      <c r="Q193" s="25" t="s">
        <v>73</v>
      </c>
      <c r="S193" s="132">
        <f aca="true" t="shared" si="68" ref="S193:S198">T193-X193</f>
        <v>20840</v>
      </c>
      <c r="T193" s="42">
        <v>88144</v>
      </c>
      <c r="U193" s="42">
        <v>69518</v>
      </c>
      <c r="V193" s="42">
        <v>65751</v>
      </c>
      <c r="W193" s="42">
        <v>67468</v>
      </c>
      <c r="X193" s="42">
        <v>67304</v>
      </c>
      <c r="Y193" s="53">
        <f aca="true" t="shared" si="69" ref="Y193:Y198">AVERAGE(T193:X193)</f>
        <v>71637</v>
      </c>
      <c r="Z193" s="25" t="s">
        <v>73</v>
      </c>
      <c r="AB193" s="132">
        <f aca="true" t="shared" si="70" ref="AB193:AB198">AC193-AG193</f>
        <v>841</v>
      </c>
      <c r="AC193" s="42">
        <v>1739</v>
      </c>
      <c r="AD193" s="42">
        <v>1436</v>
      </c>
      <c r="AE193" s="42">
        <v>1282</v>
      </c>
      <c r="AF193" s="42">
        <v>1073</v>
      </c>
      <c r="AG193" s="42">
        <v>898</v>
      </c>
      <c r="AH193" s="53">
        <f aca="true" t="shared" si="71" ref="AH193:AH198">AVERAGE(AC193:AG193)</f>
        <v>1285.6</v>
      </c>
      <c r="AI193" s="25" t="s">
        <v>73</v>
      </c>
      <c r="AJ193" s="25"/>
      <c r="AK193" s="132">
        <f aca="true" t="shared" si="72" ref="AK193:AK198">AL193-AP193</f>
        <v>1682</v>
      </c>
      <c r="AL193" s="42">
        <f aca="true" t="shared" si="73" ref="AL193:AP198">2*AC193</f>
        <v>3478</v>
      </c>
      <c r="AM193" s="42">
        <f t="shared" si="73"/>
        <v>2872</v>
      </c>
      <c r="AN193" s="42">
        <f t="shared" si="73"/>
        <v>2564</v>
      </c>
      <c r="AO193" s="42">
        <f t="shared" si="73"/>
        <v>2146</v>
      </c>
      <c r="AP193" s="42">
        <f t="shared" si="73"/>
        <v>1796</v>
      </c>
      <c r="AQ193" s="53">
        <f aca="true" t="shared" si="74" ref="AQ193:AQ198">AVERAGE(AL193:AP193)</f>
        <v>2571.2</v>
      </c>
      <c r="AR193" s="60" t="s">
        <v>73</v>
      </c>
      <c r="AS193" s="60"/>
      <c r="AT193" s="132">
        <f aca="true" t="shared" si="75" ref="AT193:AT198">AU193-AY193</f>
        <v>-4022</v>
      </c>
      <c r="AU193" s="65">
        <v>7260</v>
      </c>
      <c r="AV193" s="65">
        <v>9036</v>
      </c>
      <c r="AW193" s="65">
        <v>8891</v>
      </c>
      <c r="AX193" s="65">
        <v>9281</v>
      </c>
      <c r="AY193" s="65">
        <v>11282</v>
      </c>
      <c r="AZ193" s="53">
        <f aca="true" t="shared" si="76" ref="AZ193:AZ198">AVERAGE(AU193:AY193)</f>
        <v>9150</v>
      </c>
      <c r="BA193" s="133" t="s">
        <v>73</v>
      </c>
      <c r="BC193" s="146">
        <f aca="true" t="shared" si="77" ref="BC193:BC198">BD193-BH193</f>
        <v>-8044</v>
      </c>
      <c r="BD193" s="147">
        <f aca="true" t="shared" si="78" ref="BD193:BH198">2*AU193</f>
        <v>14520</v>
      </c>
      <c r="BE193" s="147">
        <f t="shared" si="78"/>
        <v>18072</v>
      </c>
      <c r="BF193" s="147">
        <f t="shared" si="78"/>
        <v>17782</v>
      </c>
      <c r="BG193" s="147">
        <f t="shared" si="78"/>
        <v>18562</v>
      </c>
      <c r="BH193" s="147">
        <f t="shared" si="78"/>
        <v>22564</v>
      </c>
      <c r="BI193" s="53">
        <f aca="true" t="shared" si="79" ref="BI193:BI198">AVERAGE(BD193:BH193)</f>
        <v>18300</v>
      </c>
    </row>
    <row r="194" spans="8:61" ht="12">
      <c r="H194" s="60" t="s">
        <v>73</v>
      </c>
      <c r="I194" s="60"/>
      <c r="J194" s="60"/>
      <c r="K194" s="65">
        <v>196</v>
      </c>
      <c r="L194" s="65">
        <v>183</v>
      </c>
      <c r="M194" s="65">
        <v>220</v>
      </c>
      <c r="N194" s="65">
        <v>185</v>
      </c>
      <c r="O194" s="65">
        <v>241</v>
      </c>
      <c r="P194" s="66">
        <f aca="true" t="shared" si="80" ref="P194:P199">AVERAGE(K194:O194)</f>
        <v>205</v>
      </c>
      <c r="Q194" s="25" t="s">
        <v>74</v>
      </c>
      <c r="S194" s="132">
        <f t="shared" si="68"/>
        <v>22471</v>
      </c>
      <c r="T194" s="42">
        <v>74771</v>
      </c>
      <c r="U194" s="42">
        <v>56937</v>
      </c>
      <c r="V194" s="42">
        <v>54881</v>
      </c>
      <c r="W194" s="42">
        <v>60061</v>
      </c>
      <c r="X194" s="42">
        <v>52300</v>
      </c>
      <c r="Y194" s="53">
        <f t="shared" si="69"/>
        <v>59790</v>
      </c>
      <c r="Z194" s="25" t="s">
        <v>74</v>
      </c>
      <c r="AB194" s="132">
        <f t="shared" si="70"/>
        <v>592</v>
      </c>
      <c r="AC194" s="42">
        <v>1257</v>
      </c>
      <c r="AD194" s="42">
        <v>1055</v>
      </c>
      <c r="AE194" s="42">
        <v>956</v>
      </c>
      <c r="AF194" s="42">
        <v>805</v>
      </c>
      <c r="AG194" s="42">
        <v>665</v>
      </c>
      <c r="AH194" s="53">
        <f t="shared" si="71"/>
        <v>947.6</v>
      </c>
      <c r="AI194" s="25" t="s">
        <v>74</v>
      </c>
      <c r="AJ194" s="25"/>
      <c r="AK194" s="132">
        <f t="shared" si="72"/>
        <v>1184</v>
      </c>
      <c r="AL194" s="42">
        <f t="shared" si="73"/>
        <v>2514</v>
      </c>
      <c r="AM194" s="42">
        <f t="shared" si="73"/>
        <v>2110</v>
      </c>
      <c r="AN194" s="42">
        <f t="shared" si="73"/>
        <v>1912</v>
      </c>
      <c r="AO194" s="42">
        <f t="shared" si="73"/>
        <v>1610</v>
      </c>
      <c r="AP194" s="42">
        <f t="shared" si="73"/>
        <v>1330</v>
      </c>
      <c r="AQ194" s="53">
        <f t="shared" si="74"/>
        <v>1895.2</v>
      </c>
      <c r="AR194" s="60" t="s">
        <v>74</v>
      </c>
      <c r="AS194" s="60"/>
      <c r="AT194" s="132">
        <f t="shared" si="75"/>
        <v>-6708</v>
      </c>
      <c r="AU194" s="65">
        <v>2921</v>
      </c>
      <c r="AV194" s="65">
        <v>7300</v>
      </c>
      <c r="AW194" s="65">
        <v>7020</v>
      </c>
      <c r="AX194" s="65">
        <v>7494</v>
      </c>
      <c r="AY194" s="65">
        <v>9629</v>
      </c>
      <c r="AZ194" s="53">
        <f t="shared" si="76"/>
        <v>6872.8</v>
      </c>
      <c r="BA194" s="133" t="s">
        <v>74</v>
      </c>
      <c r="BC194" s="146">
        <f t="shared" si="77"/>
        <v>-13416</v>
      </c>
      <c r="BD194" s="147">
        <f t="shared" si="78"/>
        <v>5842</v>
      </c>
      <c r="BE194" s="147">
        <f t="shared" si="78"/>
        <v>14600</v>
      </c>
      <c r="BF194" s="147">
        <f t="shared" si="78"/>
        <v>14040</v>
      </c>
      <c r="BG194" s="147">
        <f t="shared" si="78"/>
        <v>14988</v>
      </c>
      <c r="BH194" s="147">
        <f t="shared" si="78"/>
        <v>19258</v>
      </c>
      <c r="BI194" s="53">
        <f t="shared" si="79"/>
        <v>13745.6</v>
      </c>
    </row>
    <row r="195" spans="8:61" ht="12">
      <c r="H195" s="60" t="s">
        <v>74</v>
      </c>
      <c r="I195" s="60"/>
      <c r="J195" s="60"/>
      <c r="K195" s="65">
        <v>552</v>
      </c>
      <c r="L195" s="65">
        <v>679</v>
      </c>
      <c r="M195" s="65">
        <v>718</v>
      </c>
      <c r="N195" s="65">
        <v>603</v>
      </c>
      <c r="O195" s="65">
        <v>669</v>
      </c>
      <c r="P195" s="66">
        <f t="shared" si="80"/>
        <v>644.2</v>
      </c>
      <c r="Q195" s="25" t="s">
        <v>116</v>
      </c>
      <c r="S195" s="132">
        <f t="shared" si="68"/>
        <v>-1631</v>
      </c>
      <c r="T195" s="42">
        <f>T193-T194</f>
        <v>13373</v>
      </c>
      <c r="U195" s="42">
        <f>U193-U194</f>
        <v>12581</v>
      </c>
      <c r="V195" s="42">
        <f>V193-V194</f>
        <v>10870</v>
      </c>
      <c r="W195" s="42">
        <f>W193-W194</f>
        <v>7407</v>
      </c>
      <c r="X195" s="42">
        <f>X193-X194</f>
        <v>15004</v>
      </c>
      <c r="Y195" s="53">
        <f t="shared" si="69"/>
        <v>11847</v>
      </c>
      <c r="Z195" s="25" t="s">
        <v>116</v>
      </c>
      <c r="AB195" s="132">
        <f t="shared" si="70"/>
        <v>249</v>
      </c>
      <c r="AC195" s="42">
        <f>AC193-AC194</f>
        <v>482</v>
      </c>
      <c r="AD195" s="42">
        <f>AD193-AD194</f>
        <v>381</v>
      </c>
      <c r="AE195" s="42">
        <f>AE193-AE194</f>
        <v>326</v>
      </c>
      <c r="AF195" s="42">
        <f>AF193-AF194</f>
        <v>268</v>
      </c>
      <c r="AG195" s="42">
        <f>AG193-AG194</f>
        <v>233</v>
      </c>
      <c r="AH195" s="53">
        <f t="shared" si="71"/>
        <v>338</v>
      </c>
      <c r="AI195" s="25" t="s">
        <v>116</v>
      </c>
      <c r="AJ195" s="25"/>
      <c r="AK195" s="132">
        <f t="shared" si="72"/>
        <v>498</v>
      </c>
      <c r="AL195" s="42">
        <f t="shared" si="73"/>
        <v>964</v>
      </c>
      <c r="AM195" s="42">
        <f t="shared" si="73"/>
        <v>762</v>
      </c>
      <c r="AN195" s="42">
        <f t="shared" si="73"/>
        <v>652</v>
      </c>
      <c r="AO195" s="42">
        <f t="shared" si="73"/>
        <v>536</v>
      </c>
      <c r="AP195" s="42">
        <f t="shared" si="73"/>
        <v>466</v>
      </c>
      <c r="AQ195" s="53">
        <f t="shared" si="74"/>
        <v>676</v>
      </c>
      <c r="AR195" s="60" t="s">
        <v>116</v>
      </c>
      <c r="AS195" s="60"/>
      <c r="AT195" s="132">
        <f t="shared" si="75"/>
        <v>2686</v>
      </c>
      <c r="AU195" s="65">
        <f>AU193-AU194</f>
        <v>4339</v>
      </c>
      <c r="AV195" s="65">
        <f>AV193-AV194</f>
        <v>1736</v>
      </c>
      <c r="AW195" s="65">
        <f>AW193-AW194</f>
        <v>1871</v>
      </c>
      <c r="AX195" s="65">
        <f>AX193-AX194</f>
        <v>1787</v>
      </c>
      <c r="AY195" s="65">
        <f>AY193-AY194</f>
        <v>1653</v>
      </c>
      <c r="AZ195" s="53">
        <f t="shared" si="76"/>
        <v>2277.2</v>
      </c>
      <c r="BA195" s="133" t="s">
        <v>116</v>
      </c>
      <c r="BC195" s="146">
        <f t="shared" si="77"/>
        <v>5372</v>
      </c>
      <c r="BD195" s="147">
        <f t="shared" si="78"/>
        <v>8678</v>
      </c>
      <c r="BE195" s="147">
        <f t="shared" si="78"/>
        <v>3472</v>
      </c>
      <c r="BF195" s="147">
        <f t="shared" si="78"/>
        <v>3742</v>
      </c>
      <c r="BG195" s="147">
        <f t="shared" si="78"/>
        <v>3574</v>
      </c>
      <c r="BH195" s="147">
        <f t="shared" si="78"/>
        <v>3306</v>
      </c>
      <c r="BI195" s="53">
        <f t="shared" si="79"/>
        <v>4554.4</v>
      </c>
    </row>
    <row r="196" spans="8:61" ht="12">
      <c r="H196" s="60" t="s">
        <v>116</v>
      </c>
      <c r="I196" s="60"/>
      <c r="J196" s="60"/>
      <c r="K196" s="65">
        <f>K194-K195</f>
        <v>-356</v>
      </c>
      <c r="L196" s="65">
        <f>L194-L195</f>
        <v>-496</v>
      </c>
      <c r="M196" s="65">
        <f>M194-M195</f>
        <v>-498</v>
      </c>
      <c r="N196" s="65">
        <f>N194-N195</f>
        <v>-418</v>
      </c>
      <c r="O196" s="65">
        <f>O194-O195</f>
        <v>-428</v>
      </c>
      <c r="P196" s="66">
        <f t="shared" si="80"/>
        <v>-439.2</v>
      </c>
      <c r="Q196" s="25" t="s">
        <v>82</v>
      </c>
      <c r="S196" s="132">
        <f t="shared" si="68"/>
        <v>-781</v>
      </c>
      <c r="T196" s="42">
        <v>2349</v>
      </c>
      <c r="U196" s="42">
        <v>2129</v>
      </c>
      <c r="V196" s="42">
        <v>2336</v>
      </c>
      <c r="W196" s="42">
        <v>2797</v>
      </c>
      <c r="X196" s="42">
        <v>3130</v>
      </c>
      <c r="Y196" s="53">
        <f t="shared" si="69"/>
        <v>2548.2</v>
      </c>
      <c r="Z196" s="25" t="s">
        <v>82</v>
      </c>
      <c r="AB196" s="132">
        <f t="shared" si="70"/>
        <v>14</v>
      </c>
      <c r="AC196" s="25">
        <v>23</v>
      </c>
      <c r="AD196" s="25">
        <v>14</v>
      </c>
      <c r="AE196" s="42">
        <v>12</v>
      </c>
      <c r="AF196" s="42">
        <v>11</v>
      </c>
      <c r="AG196" s="42">
        <v>9</v>
      </c>
      <c r="AH196" s="53">
        <f t="shared" si="71"/>
        <v>13.8</v>
      </c>
      <c r="AI196" s="25" t="s">
        <v>82</v>
      </c>
      <c r="AJ196" s="25"/>
      <c r="AK196" s="132">
        <f t="shared" si="72"/>
        <v>28</v>
      </c>
      <c r="AL196" s="42">
        <f t="shared" si="73"/>
        <v>46</v>
      </c>
      <c r="AM196" s="42">
        <f t="shared" si="73"/>
        <v>28</v>
      </c>
      <c r="AN196" s="42">
        <f t="shared" si="73"/>
        <v>24</v>
      </c>
      <c r="AO196" s="42">
        <f t="shared" si="73"/>
        <v>22</v>
      </c>
      <c r="AP196" s="42">
        <f t="shared" si="73"/>
        <v>18</v>
      </c>
      <c r="AQ196" s="53">
        <f t="shared" si="74"/>
        <v>27.6</v>
      </c>
      <c r="AR196" s="60" t="s">
        <v>82</v>
      </c>
      <c r="AS196" s="60"/>
      <c r="AT196" s="132">
        <f t="shared" si="75"/>
        <v>-125</v>
      </c>
      <c r="AU196" s="65">
        <v>235</v>
      </c>
      <c r="AV196" s="65">
        <v>325</v>
      </c>
      <c r="AW196" s="65">
        <v>257</v>
      </c>
      <c r="AX196" s="65">
        <v>327</v>
      </c>
      <c r="AY196" s="65">
        <v>360</v>
      </c>
      <c r="AZ196" s="53">
        <f t="shared" si="76"/>
        <v>300.8</v>
      </c>
      <c r="BA196" s="133" t="s">
        <v>82</v>
      </c>
      <c r="BC196" s="146">
        <f t="shared" si="77"/>
        <v>-250</v>
      </c>
      <c r="BD196" s="147">
        <f t="shared" si="78"/>
        <v>470</v>
      </c>
      <c r="BE196" s="147">
        <f t="shared" si="78"/>
        <v>650</v>
      </c>
      <c r="BF196" s="147">
        <f t="shared" si="78"/>
        <v>514</v>
      </c>
      <c r="BG196" s="147">
        <f t="shared" si="78"/>
        <v>654</v>
      </c>
      <c r="BH196" s="147">
        <f t="shared" si="78"/>
        <v>720</v>
      </c>
      <c r="BI196" s="53">
        <f t="shared" si="79"/>
        <v>601.6</v>
      </c>
    </row>
    <row r="197" spans="8:61" ht="12">
      <c r="H197" s="60" t="s">
        <v>82</v>
      </c>
      <c r="I197" s="60"/>
      <c r="J197" s="60"/>
      <c r="K197" s="65">
        <v>0</v>
      </c>
      <c r="L197" s="65">
        <v>0</v>
      </c>
      <c r="M197" s="65">
        <v>0</v>
      </c>
      <c r="N197" s="65">
        <v>0</v>
      </c>
      <c r="O197" s="65">
        <v>0</v>
      </c>
      <c r="P197" s="66">
        <f t="shared" si="80"/>
        <v>0</v>
      </c>
      <c r="Q197" s="25" t="s">
        <v>83</v>
      </c>
      <c r="S197" s="132">
        <f t="shared" si="68"/>
        <v>1077</v>
      </c>
      <c r="T197" s="42">
        <v>2674</v>
      </c>
      <c r="U197" s="42">
        <v>2421</v>
      </c>
      <c r="V197" s="42">
        <v>2078</v>
      </c>
      <c r="W197" s="42">
        <v>1213</v>
      </c>
      <c r="X197" s="42">
        <v>1597</v>
      </c>
      <c r="Y197" s="53">
        <f t="shared" si="69"/>
        <v>1996.6</v>
      </c>
      <c r="Z197" s="25" t="s">
        <v>83</v>
      </c>
      <c r="AB197" s="132">
        <f t="shared" si="70"/>
        <v>14</v>
      </c>
      <c r="AC197" s="42">
        <v>40</v>
      </c>
      <c r="AD197" s="42">
        <v>38</v>
      </c>
      <c r="AE197" s="42">
        <v>36</v>
      </c>
      <c r="AF197" s="42">
        <v>28</v>
      </c>
      <c r="AG197" s="42">
        <v>26</v>
      </c>
      <c r="AH197" s="53">
        <f>AVERAGE(AC197:AG197)</f>
        <v>33.6</v>
      </c>
      <c r="AI197" s="25" t="s">
        <v>83</v>
      </c>
      <c r="AJ197" s="25"/>
      <c r="AK197" s="132">
        <f t="shared" si="72"/>
        <v>28</v>
      </c>
      <c r="AL197" s="42">
        <f t="shared" si="73"/>
        <v>80</v>
      </c>
      <c r="AM197" s="42">
        <f t="shared" si="73"/>
        <v>76</v>
      </c>
      <c r="AN197" s="42">
        <f t="shared" si="73"/>
        <v>72</v>
      </c>
      <c r="AO197" s="42">
        <f t="shared" si="73"/>
        <v>56</v>
      </c>
      <c r="AP197" s="42">
        <f t="shared" si="73"/>
        <v>52</v>
      </c>
      <c r="AQ197" s="53">
        <f t="shared" si="74"/>
        <v>67.2</v>
      </c>
      <c r="AR197" s="60" t="s">
        <v>83</v>
      </c>
      <c r="AS197" s="60"/>
      <c r="AT197" s="132">
        <f t="shared" si="75"/>
        <v>82</v>
      </c>
      <c r="AU197" s="65">
        <v>393</v>
      </c>
      <c r="AV197" s="65">
        <v>320</v>
      </c>
      <c r="AW197" s="65">
        <v>298</v>
      </c>
      <c r="AX197" s="65">
        <v>105</v>
      </c>
      <c r="AY197" s="65">
        <v>311</v>
      </c>
      <c r="AZ197" s="53">
        <f t="shared" si="76"/>
        <v>285.4</v>
      </c>
      <c r="BA197" s="133" t="s">
        <v>83</v>
      </c>
      <c r="BC197" s="146">
        <f t="shared" si="77"/>
        <v>164</v>
      </c>
      <c r="BD197" s="147">
        <f t="shared" si="78"/>
        <v>786</v>
      </c>
      <c r="BE197" s="147">
        <f t="shared" si="78"/>
        <v>640</v>
      </c>
      <c r="BF197" s="147">
        <f t="shared" si="78"/>
        <v>596</v>
      </c>
      <c r="BG197" s="147">
        <f t="shared" si="78"/>
        <v>210</v>
      </c>
      <c r="BH197" s="147">
        <f t="shared" si="78"/>
        <v>622</v>
      </c>
      <c r="BI197" s="53">
        <f t="shared" si="79"/>
        <v>570.8</v>
      </c>
    </row>
    <row r="198" spans="8:61" ht="12">
      <c r="H198" s="60" t="s">
        <v>83</v>
      </c>
      <c r="I198" s="60"/>
      <c r="J198" s="60"/>
      <c r="K198" s="65">
        <v>-187</v>
      </c>
      <c r="L198" s="65">
        <v>-195</v>
      </c>
      <c r="M198" s="65">
        <v>-205</v>
      </c>
      <c r="N198" s="65">
        <v>-159</v>
      </c>
      <c r="O198" s="65">
        <v>-209</v>
      </c>
      <c r="P198" s="66">
        <f t="shared" si="80"/>
        <v>-191</v>
      </c>
      <c r="Q198" s="25" t="s">
        <v>98</v>
      </c>
      <c r="S198" s="132">
        <f t="shared" si="68"/>
        <v>2118</v>
      </c>
      <c r="T198" s="42">
        <v>6197</v>
      </c>
      <c r="U198" s="42">
        <v>7397</v>
      </c>
      <c r="V198" s="42">
        <v>7831</v>
      </c>
      <c r="W198" s="42">
        <v>3077</v>
      </c>
      <c r="X198" s="42">
        <v>4079</v>
      </c>
      <c r="Y198" s="53">
        <f t="shared" si="69"/>
        <v>5716.2</v>
      </c>
      <c r="Z198" s="25" t="s">
        <v>98</v>
      </c>
      <c r="AB198" s="132">
        <f t="shared" si="70"/>
        <v>92</v>
      </c>
      <c r="AC198" s="42">
        <v>140</v>
      </c>
      <c r="AD198" s="42">
        <v>107</v>
      </c>
      <c r="AE198" s="42">
        <v>101</v>
      </c>
      <c r="AF198" s="42">
        <v>59</v>
      </c>
      <c r="AG198" s="42">
        <v>48</v>
      </c>
      <c r="AH198" s="53">
        <f t="shared" si="71"/>
        <v>91</v>
      </c>
      <c r="AI198" s="25" t="s">
        <v>98</v>
      </c>
      <c r="AJ198" s="25"/>
      <c r="AK198" s="132">
        <f t="shared" si="72"/>
        <v>184</v>
      </c>
      <c r="AL198" s="42">
        <f t="shared" si="73"/>
        <v>280</v>
      </c>
      <c r="AM198" s="42">
        <f t="shared" si="73"/>
        <v>214</v>
      </c>
      <c r="AN198" s="42">
        <f t="shared" si="73"/>
        <v>202</v>
      </c>
      <c r="AO198" s="42">
        <f t="shared" si="73"/>
        <v>118</v>
      </c>
      <c r="AP198" s="42">
        <f t="shared" si="73"/>
        <v>96</v>
      </c>
      <c r="AQ198" s="53">
        <f t="shared" si="74"/>
        <v>182</v>
      </c>
      <c r="AR198" s="60" t="s">
        <v>98</v>
      </c>
      <c r="AS198" s="60"/>
      <c r="AT198" s="132">
        <f t="shared" si="75"/>
        <v>261</v>
      </c>
      <c r="AU198" s="65">
        <v>1965</v>
      </c>
      <c r="AV198" s="65">
        <v>1439</v>
      </c>
      <c r="AW198" s="65">
        <v>1482</v>
      </c>
      <c r="AX198" s="65">
        <v>141</v>
      </c>
      <c r="AY198" s="65">
        <v>1704</v>
      </c>
      <c r="AZ198" s="53">
        <f t="shared" si="76"/>
        <v>1346.2</v>
      </c>
      <c r="BA198" s="133" t="s">
        <v>98</v>
      </c>
      <c r="BC198" s="146">
        <f t="shared" si="77"/>
        <v>522</v>
      </c>
      <c r="BD198" s="147">
        <f t="shared" si="78"/>
        <v>3930</v>
      </c>
      <c r="BE198" s="147">
        <f t="shared" si="78"/>
        <v>2878</v>
      </c>
      <c r="BF198" s="147">
        <f t="shared" si="78"/>
        <v>2964</v>
      </c>
      <c r="BG198" s="147">
        <f t="shared" si="78"/>
        <v>282</v>
      </c>
      <c r="BH198" s="147">
        <f t="shared" si="78"/>
        <v>3408</v>
      </c>
      <c r="BI198" s="53">
        <f t="shared" si="79"/>
        <v>2692.4</v>
      </c>
    </row>
    <row r="199" spans="8:54" ht="12">
      <c r="H199" s="60" t="s">
        <v>98</v>
      </c>
      <c r="I199" s="60"/>
      <c r="J199" s="60"/>
      <c r="K199" s="65">
        <v>3707</v>
      </c>
      <c r="L199" s="65">
        <v>3734</v>
      </c>
      <c r="M199" s="65">
        <v>3445</v>
      </c>
      <c r="N199" s="65">
        <v>2987</v>
      </c>
      <c r="O199" s="65">
        <v>2671</v>
      </c>
      <c r="P199" s="66">
        <f t="shared" si="80"/>
        <v>3308.8</v>
      </c>
      <c r="Q199" s="22"/>
      <c r="R199" s="22"/>
      <c r="S199" s="22"/>
      <c r="T199" s="42"/>
      <c r="U199" s="42"/>
      <c r="V199" s="42"/>
      <c r="W199" s="42"/>
      <c r="X199" s="42"/>
      <c r="Y199" s="53"/>
      <c r="Z199" s="22"/>
      <c r="AA199" s="22"/>
      <c r="AB199" s="22"/>
      <c r="AC199" s="42"/>
      <c r="AD199" s="42"/>
      <c r="AE199" s="42"/>
      <c r="AF199" s="42"/>
      <c r="AG199" s="42"/>
      <c r="AH199" s="53"/>
      <c r="AI199" s="22"/>
      <c r="AJ199" s="22"/>
      <c r="AK199" s="22"/>
      <c r="AL199" s="42"/>
      <c r="AM199" s="42"/>
      <c r="AN199" s="42"/>
      <c r="AO199" s="42"/>
      <c r="AP199" s="42"/>
      <c r="AQ199" s="53"/>
      <c r="AR199" s="64"/>
      <c r="AS199" s="64"/>
      <c r="AT199" s="64"/>
      <c r="AU199" s="65"/>
      <c r="AV199" s="65"/>
      <c r="AW199" s="65"/>
      <c r="AX199" s="65"/>
      <c r="AY199" s="65"/>
      <c r="AZ199" s="53"/>
      <c r="BA199" s="139"/>
      <c r="BB199" s="139"/>
    </row>
    <row r="200" spans="8:61" ht="12">
      <c r="H200" s="64"/>
      <c r="I200" s="64"/>
      <c r="J200" s="64"/>
      <c r="K200" s="65"/>
      <c r="L200" s="65"/>
      <c r="M200" s="65"/>
      <c r="N200" s="65"/>
      <c r="O200" s="65"/>
      <c r="P200" s="66"/>
      <c r="Q200" s="25" t="s">
        <v>60</v>
      </c>
      <c r="S200" s="28" t="s">
        <v>17</v>
      </c>
      <c r="T200" s="28" t="s">
        <v>38</v>
      </c>
      <c r="U200" s="28" t="s">
        <v>38</v>
      </c>
      <c r="V200" s="28" t="s">
        <v>38</v>
      </c>
      <c r="W200" s="28" t="s">
        <v>38</v>
      </c>
      <c r="X200" s="28" t="s">
        <v>38</v>
      </c>
      <c r="Y200" s="143" t="s">
        <v>38</v>
      </c>
      <c r="AH200" s="137"/>
      <c r="AI200" s="25" t="s">
        <v>60</v>
      </c>
      <c r="AJ200" s="25"/>
      <c r="AK200" s="28" t="s">
        <v>17</v>
      </c>
      <c r="AL200" s="28" t="s">
        <v>38</v>
      </c>
      <c r="AM200" s="28" t="s">
        <v>38</v>
      </c>
      <c r="AN200" s="28" t="s">
        <v>38</v>
      </c>
      <c r="AO200" s="28" t="s">
        <v>38</v>
      </c>
      <c r="AP200" s="28" t="s">
        <v>38</v>
      </c>
      <c r="AQ200" s="143" t="s">
        <v>38</v>
      </c>
      <c r="AR200" s="60"/>
      <c r="AS200" s="60"/>
      <c r="AT200" s="60"/>
      <c r="AU200" s="60"/>
      <c r="AV200" s="60"/>
      <c r="AW200" s="60"/>
      <c r="AX200" s="60"/>
      <c r="AY200" s="60"/>
      <c r="AZ200" s="137"/>
      <c r="BA200" s="133" t="s">
        <v>60</v>
      </c>
      <c r="BC200" s="143" t="s">
        <v>17</v>
      </c>
      <c r="BD200" s="143" t="s">
        <v>38</v>
      </c>
      <c r="BE200" s="143" t="s">
        <v>38</v>
      </c>
      <c r="BF200" s="143" t="s">
        <v>38</v>
      </c>
      <c r="BG200" s="143" t="s">
        <v>38</v>
      </c>
      <c r="BH200" s="143" t="s">
        <v>38</v>
      </c>
      <c r="BI200" s="143" t="s">
        <v>38</v>
      </c>
    </row>
    <row r="201" spans="8:61" ht="12">
      <c r="H201" s="60"/>
      <c r="I201" s="60"/>
      <c r="J201" s="60"/>
      <c r="K201" s="60"/>
      <c r="L201" s="60"/>
      <c r="M201" s="60"/>
      <c r="N201" s="60"/>
      <c r="O201" s="60"/>
      <c r="P201" s="61"/>
      <c r="R201" s="25" t="s">
        <v>61</v>
      </c>
      <c r="S201" s="44">
        <f>T201-X201</f>
        <v>0.6399999999999999</v>
      </c>
      <c r="T201" s="25">
        <v>2.13</v>
      </c>
      <c r="U201" s="25">
        <v>2.67</v>
      </c>
      <c r="V201" s="25">
        <v>2.83</v>
      </c>
      <c r="W201" s="25">
        <v>1.12</v>
      </c>
      <c r="X201" s="25">
        <v>1.49</v>
      </c>
      <c r="Y201" s="140">
        <f>AVERAGE(T201:X201)</f>
        <v>2.048</v>
      </c>
      <c r="AC201" s="42"/>
      <c r="AD201" s="42"/>
      <c r="AE201" s="42"/>
      <c r="AF201" s="42"/>
      <c r="AG201" s="42"/>
      <c r="AH201" s="53"/>
      <c r="AI201" s="25"/>
      <c r="AJ201" s="25" t="s">
        <v>61</v>
      </c>
      <c r="AK201" s="44">
        <f>AL201-AP201</f>
        <v>0.3</v>
      </c>
      <c r="AL201" s="33">
        <f aca="true" t="shared" si="81" ref="AL201:AP202">2*AC203</f>
        <v>0.44</v>
      </c>
      <c r="AM201" s="33">
        <f t="shared" si="81"/>
        <v>0.32</v>
      </c>
      <c r="AN201" s="33">
        <f t="shared" si="81"/>
        <v>0.3</v>
      </c>
      <c r="AO201" s="33">
        <f t="shared" si="81"/>
        <v>0.18</v>
      </c>
      <c r="AP201" s="33">
        <f t="shared" si="81"/>
        <v>0.14</v>
      </c>
      <c r="AQ201" s="140">
        <f>AVERAGE(AL201:AP201)</f>
        <v>0.27599999999999997</v>
      </c>
      <c r="AR201" s="60"/>
      <c r="AS201" s="60"/>
      <c r="AT201" s="60"/>
      <c r="AU201" s="65"/>
      <c r="AV201" s="65"/>
      <c r="AW201" s="65"/>
      <c r="AX201" s="65"/>
      <c r="AY201" s="65"/>
      <c r="AZ201" s="53"/>
      <c r="BB201" s="133" t="s">
        <v>61</v>
      </c>
      <c r="BC201" s="148">
        <f>BD201-BH201</f>
        <v>0.3600000000000001</v>
      </c>
      <c r="BD201" s="149">
        <f aca="true" t="shared" si="82" ref="BD201:BH202">2*AU203</f>
        <v>1.34</v>
      </c>
      <c r="BE201" s="149">
        <f t="shared" si="82"/>
        <v>0.92</v>
      </c>
      <c r="BF201" s="149">
        <f t="shared" si="82"/>
        <v>0.92</v>
      </c>
      <c r="BG201" s="149">
        <f t="shared" si="82"/>
        <v>0.04</v>
      </c>
      <c r="BH201" s="149">
        <f t="shared" si="82"/>
        <v>0.98</v>
      </c>
      <c r="BI201" s="140">
        <f>AVERAGE(BD201:BH201)</f>
        <v>0.8400000000000001</v>
      </c>
    </row>
    <row r="202" spans="8:61" ht="12">
      <c r="H202" s="60"/>
      <c r="I202" s="60"/>
      <c r="J202" s="60"/>
      <c r="K202" s="65"/>
      <c r="L202" s="65"/>
      <c r="M202" s="65"/>
      <c r="N202" s="65"/>
      <c r="O202" s="65"/>
      <c r="P202" s="66"/>
      <c r="R202" s="25" t="s">
        <v>62</v>
      </c>
      <c r="S202" s="44">
        <f>T202-X202</f>
        <v>0.6300000000000001</v>
      </c>
      <c r="T202" s="25">
        <v>2.12</v>
      </c>
      <c r="U202" s="25">
        <v>2.65</v>
      </c>
      <c r="V202" s="25">
        <v>2.79</v>
      </c>
      <c r="W202" s="25">
        <v>1.11</v>
      </c>
      <c r="X202" s="25">
        <v>1.49</v>
      </c>
      <c r="Y202" s="140">
        <f>AVERAGE(T202:X202)</f>
        <v>2.032</v>
      </c>
      <c r="Z202" s="25" t="s">
        <v>60</v>
      </c>
      <c r="AB202" s="28" t="s">
        <v>17</v>
      </c>
      <c r="AC202" s="28" t="s">
        <v>68</v>
      </c>
      <c r="AD202" s="28" t="s">
        <v>68</v>
      </c>
      <c r="AE202" s="28" t="s">
        <v>68</v>
      </c>
      <c r="AF202" s="28" t="s">
        <v>68</v>
      </c>
      <c r="AG202" s="28" t="s">
        <v>68</v>
      </c>
      <c r="AH202" s="138" t="s">
        <v>68</v>
      </c>
      <c r="AI202" s="25"/>
      <c r="AJ202" s="25" t="s">
        <v>62</v>
      </c>
      <c r="AK202" s="44">
        <f>AL202-AP202</f>
        <v>0.3</v>
      </c>
      <c r="AL202" s="33">
        <f t="shared" si="81"/>
        <v>0.44</v>
      </c>
      <c r="AM202" s="33">
        <f t="shared" si="81"/>
        <v>0.32</v>
      </c>
      <c r="AN202" s="33">
        <f t="shared" si="81"/>
        <v>0.3</v>
      </c>
      <c r="AO202" s="33">
        <f t="shared" si="81"/>
        <v>0.18</v>
      </c>
      <c r="AP202" s="33">
        <f t="shared" si="81"/>
        <v>0.14</v>
      </c>
      <c r="AQ202" s="140">
        <f>AVERAGE(AL202:AP202)</f>
        <v>0.27599999999999997</v>
      </c>
      <c r="AR202" s="60" t="s">
        <v>60</v>
      </c>
      <c r="AS202" s="60"/>
      <c r="AT202" s="62" t="s">
        <v>17</v>
      </c>
      <c r="AU202" s="62" t="s">
        <v>68</v>
      </c>
      <c r="AV202" s="62" t="s">
        <v>68</v>
      </c>
      <c r="AW202" s="62" t="s">
        <v>68</v>
      </c>
      <c r="AX202" s="62" t="s">
        <v>68</v>
      </c>
      <c r="AY202" s="62" t="s">
        <v>68</v>
      </c>
      <c r="AZ202" s="138" t="s">
        <v>68</v>
      </c>
      <c r="BB202" s="133" t="s">
        <v>62</v>
      </c>
      <c r="BC202" s="148">
        <f>BD202-BH202</f>
        <v>0.3600000000000001</v>
      </c>
      <c r="BD202" s="149">
        <f t="shared" si="82"/>
        <v>1.34</v>
      </c>
      <c r="BE202" s="149">
        <f t="shared" si="82"/>
        <v>0.92</v>
      </c>
      <c r="BF202" s="149">
        <f t="shared" si="82"/>
        <v>0.92</v>
      </c>
      <c r="BG202" s="149">
        <f t="shared" si="82"/>
        <v>0.04</v>
      </c>
      <c r="BH202" s="149">
        <f t="shared" si="82"/>
        <v>0.98</v>
      </c>
      <c r="BI202" s="140">
        <f>AVERAGE(BD202:BH202)</f>
        <v>0.8400000000000001</v>
      </c>
    </row>
    <row r="203" spans="8:52" ht="12">
      <c r="H203" s="60" t="s">
        <v>60</v>
      </c>
      <c r="I203" s="60"/>
      <c r="J203" s="62" t="s">
        <v>17</v>
      </c>
      <c r="K203" s="62" t="s">
        <v>38</v>
      </c>
      <c r="L203" s="62" t="s">
        <v>38</v>
      </c>
      <c r="M203" s="62" t="s">
        <v>38</v>
      </c>
      <c r="N203" s="62" t="s">
        <v>38</v>
      </c>
      <c r="O203" s="62" t="s">
        <v>38</v>
      </c>
      <c r="P203" s="62" t="s">
        <v>38</v>
      </c>
      <c r="AA203" s="25" t="s">
        <v>61</v>
      </c>
      <c r="AB203" s="44">
        <f>AC203-AG203</f>
        <v>0.15</v>
      </c>
      <c r="AC203" s="25">
        <v>0.22</v>
      </c>
      <c r="AD203" s="25">
        <v>0.16</v>
      </c>
      <c r="AE203" s="25">
        <v>0.15</v>
      </c>
      <c r="AF203" s="25">
        <v>0.09</v>
      </c>
      <c r="AG203" s="25">
        <v>0.07</v>
      </c>
      <c r="AH203" s="140">
        <f>AVERAGE(AC203:AG203)</f>
        <v>0.13799999999999998</v>
      </c>
      <c r="AI203" s="25"/>
      <c r="AJ203" s="25"/>
      <c r="AK203" s="25"/>
      <c r="AL203" s="25"/>
      <c r="AM203" s="25"/>
      <c r="AN203" s="25"/>
      <c r="AO203" s="25"/>
      <c r="AP203" s="25"/>
      <c r="AQ203" s="137"/>
      <c r="AR203" s="60"/>
      <c r="AS203" s="60" t="s">
        <v>61</v>
      </c>
      <c r="AT203" s="44">
        <f>AU203-AY203</f>
        <v>0.18000000000000005</v>
      </c>
      <c r="AU203" s="60">
        <v>0.67</v>
      </c>
      <c r="AV203" s="60">
        <v>0.46</v>
      </c>
      <c r="AW203" s="60">
        <v>0.46</v>
      </c>
      <c r="AX203" s="60">
        <v>0.02</v>
      </c>
      <c r="AY203" s="60">
        <v>0.49</v>
      </c>
      <c r="AZ203" s="140">
        <f>AVERAGE(AU203:AY203)</f>
        <v>0.42000000000000004</v>
      </c>
    </row>
    <row r="204" spans="8:61" ht="12">
      <c r="H204" s="60"/>
      <c r="I204" s="60" t="s">
        <v>61</v>
      </c>
      <c r="J204" s="60"/>
      <c r="K204" s="60"/>
      <c r="L204" s="60"/>
      <c r="M204" s="60"/>
      <c r="N204" s="60"/>
      <c r="O204" s="60"/>
      <c r="P204" s="67" t="e">
        <f>AVERAGE(K204:O204)</f>
        <v>#DIV/0!</v>
      </c>
      <c r="Q204" s="22" t="s">
        <v>77</v>
      </c>
      <c r="T204" s="28" t="s">
        <v>71</v>
      </c>
      <c r="U204" s="28" t="s">
        <v>71</v>
      </c>
      <c r="V204" s="28" t="s">
        <v>71</v>
      </c>
      <c r="W204" s="28" t="s">
        <v>71</v>
      </c>
      <c r="X204" s="28" t="s">
        <v>71</v>
      </c>
      <c r="Y204" s="138" t="s">
        <v>71</v>
      </c>
      <c r="AA204" s="25" t="s">
        <v>62</v>
      </c>
      <c r="AB204" s="44">
        <f>AC204-AG204</f>
        <v>0.15</v>
      </c>
      <c r="AC204" s="25">
        <v>0.22</v>
      </c>
      <c r="AD204" s="25">
        <v>0.16</v>
      </c>
      <c r="AE204" s="25">
        <v>0.15</v>
      </c>
      <c r="AF204" s="25">
        <v>0.09</v>
      </c>
      <c r="AG204" s="25">
        <v>0.07</v>
      </c>
      <c r="AH204" s="140">
        <f>AVERAGE(AC204:AG204)</f>
        <v>0.13799999999999998</v>
      </c>
      <c r="AI204" s="22" t="s">
        <v>77</v>
      </c>
      <c r="AJ204" s="25"/>
      <c r="AK204" s="25"/>
      <c r="AL204" s="28" t="s">
        <v>71</v>
      </c>
      <c r="AM204" s="28" t="s">
        <v>71</v>
      </c>
      <c r="AN204" s="28" t="s">
        <v>71</v>
      </c>
      <c r="AO204" s="28" t="s">
        <v>71</v>
      </c>
      <c r="AP204" s="28" t="s">
        <v>71</v>
      </c>
      <c r="AQ204" s="138" t="s">
        <v>71</v>
      </c>
      <c r="AR204" s="60"/>
      <c r="AS204" s="60" t="s">
        <v>62</v>
      </c>
      <c r="AT204" s="44">
        <f>AU204-AY204</f>
        <v>0.18000000000000005</v>
      </c>
      <c r="AU204" s="60">
        <v>0.67</v>
      </c>
      <c r="AV204" s="60">
        <v>0.46</v>
      </c>
      <c r="AW204" s="60">
        <v>0.46</v>
      </c>
      <c r="AX204" s="60">
        <v>0.02</v>
      </c>
      <c r="AY204" s="60">
        <v>0.49</v>
      </c>
      <c r="AZ204" s="140">
        <f>AVERAGE(AU204:AY204)</f>
        <v>0.42000000000000004</v>
      </c>
      <c r="BD204" s="143" t="s">
        <v>71</v>
      </c>
      <c r="BE204" s="143" t="s">
        <v>71</v>
      </c>
      <c r="BF204" s="143" t="s">
        <v>71</v>
      </c>
      <c r="BG204" s="143" t="s">
        <v>71</v>
      </c>
      <c r="BH204" s="143" t="s">
        <v>71</v>
      </c>
      <c r="BI204" s="138" t="s">
        <v>71</v>
      </c>
    </row>
    <row r="205" spans="8:61" ht="12">
      <c r="H205" s="60"/>
      <c r="I205" s="60" t="s">
        <v>62</v>
      </c>
      <c r="J205" s="60"/>
      <c r="K205" s="60"/>
      <c r="L205" s="60"/>
      <c r="M205" s="60"/>
      <c r="N205" s="60"/>
      <c r="O205" s="60"/>
      <c r="P205" s="67" t="e">
        <f>AVERAGE(K205:O205)</f>
        <v>#DIV/0!</v>
      </c>
      <c r="T205" s="28" t="s">
        <v>38</v>
      </c>
      <c r="U205" s="28" t="s">
        <v>38</v>
      </c>
      <c r="V205" s="28" t="s">
        <v>38</v>
      </c>
      <c r="W205" s="28" t="s">
        <v>38</v>
      </c>
      <c r="X205" s="28" t="s">
        <v>38</v>
      </c>
      <c r="Y205" s="143" t="s">
        <v>38</v>
      </c>
      <c r="AH205" s="137"/>
      <c r="AI205" s="25"/>
      <c r="AJ205" s="25"/>
      <c r="AK205" s="25"/>
      <c r="AL205" s="28" t="s">
        <v>38</v>
      </c>
      <c r="AM205" s="28" t="s">
        <v>38</v>
      </c>
      <c r="AN205" s="28" t="s">
        <v>38</v>
      </c>
      <c r="AO205" s="28" t="s">
        <v>38</v>
      </c>
      <c r="AP205" s="28" t="s">
        <v>38</v>
      </c>
      <c r="AQ205" s="143" t="s">
        <v>38</v>
      </c>
      <c r="AR205" s="60"/>
      <c r="AS205" s="60"/>
      <c r="AT205" s="60"/>
      <c r="AU205" s="60"/>
      <c r="AV205" s="60"/>
      <c r="AW205" s="60"/>
      <c r="AX205" s="60"/>
      <c r="AY205" s="60"/>
      <c r="AZ205" s="137"/>
      <c r="BA205" s="139" t="s">
        <v>77</v>
      </c>
      <c r="BD205" s="143" t="s">
        <v>38</v>
      </c>
      <c r="BE205" s="143" t="s">
        <v>38</v>
      </c>
      <c r="BF205" s="143" t="s">
        <v>38</v>
      </c>
      <c r="BG205" s="143" t="s">
        <v>38</v>
      </c>
      <c r="BH205" s="143" t="s">
        <v>38</v>
      </c>
      <c r="BI205" s="143" t="s">
        <v>38</v>
      </c>
    </row>
    <row r="206" spans="8:61" ht="12">
      <c r="H206" s="60"/>
      <c r="I206" s="60"/>
      <c r="J206" s="60"/>
      <c r="K206" s="60"/>
      <c r="L206" s="60"/>
      <c r="M206" s="60"/>
      <c r="N206" s="60"/>
      <c r="O206" s="60"/>
      <c r="P206" s="61"/>
      <c r="Q206" s="25" t="s">
        <v>79</v>
      </c>
      <c r="S206" s="132">
        <f>T206-X206</f>
        <v>2007</v>
      </c>
      <c r="T206" s="42">
        <v>24106</v>
      </c>
      <c r="U206" s="42">
        <v>22025</v>
      </c>
      <c r="V206" s="42">
        <v>21791</v>
      </c>
      <c r="W206" s="42">
        <v>22467</v>
      </c>
      <c r="X206" s="42">
        <v>22099</v>
      </c>
      <c r="Y206" s="53">
        <f>AVERAGE(T206:X206)</f>
        <v>22497.6</v>
      </c>
      <c r="Z206" s="22" t="s">
        <v>77</v>
      </c>
      <c r="AC206" s="28" t="s">
        <v>71</v>
      </c>
      <c r="AD206" s="28" t="s">
        <v>71</v>
      </c>
      <c r="AE206" s="28" t="s">
        <v>71</v>
      </c>
      <c r="AF206" s="28" t="s">
        <v>71</v>
      </c>
      <c r="AG206" s="28" t="s">
        <v>71</v>
      </c>
      <c r="AH206" s="138" t="s">
        <v>71</v>
      </c>
      <c r="AI206" s="25" t="s">
        <v>79</v>
      </c>
      <c r="AJ206" s="25"/>
      <c r="AK206" s="132">
        <f>AL206-AM206</f>
        <v>72</v>
      </c>
      <c r="AL206" s="42">
        <f aca="true" t="shared" si="83" ref="AL206:AP208">2*AC208</f>
        <v>434</v>
      </c>
      <c r="AM206" s="42">
        <f t="shared" si="83"/>
        <v>362</v>
      </c>
      <c r="AN206" s="42">
        <f t="shared" si="83"/>
        <v>204</v>
      </c>
      <c r="AO206" s="42">
        <f t="shared" si="83"/>
        <v>0</v>
      </c>
      <c r="AP206" s="42">
        <f t="shared" si="83"/>
        <v>0</v>
      </c>
      <c r="AQ206" s="53">
        <f>AVERAGE(AL206:AP206)</f>
        <v>200</v>
      </c>
      <c r="AR206" s="64" t="s">
        <v>77</v>
      </c>
      <c r="AS206" s="60"/>
      <c r="AT206" s="60"/>
      <c r="AU206" s="62" t="s">
        <v>71</v>
      </c>
      <c r="AV206" s="62" t="s">
        <v>71</v>
      </c>
      <c r="AW206" s="62" t="s">
        <v>71</v>
      </c>
      <c r="AX206" s="62" t="s">
        <v>71</v>
      </c>
      <c r="AY206" s="62" t="s">
        <v>71</v>
      </c>
      <c r="AZ206" s="138" t="s">
        <v>71</v>
      </c>
      <c r="BA206" s="133" t="s">
        <v>79</v>
      </c>
      <c r="BC206" s="146">
        <f>BD206-BE206</f>
        <v>-260</v>
      </c>
      <c r="BD206" s="147">
        <f aca="true" t="shared" si="84" ref="BD206:BH208">2*AU208</f>
        <v>3190</v>
      </c>
      <c r="BE206" s="147">
        <f t="shared" si="84"/>
        <v>3450</v>
      </c>
      <c r="BF206" s="147">
        <f t="shared" si="84"/>
        <v>0</v>
      </c>
      <c r="BG206" s="147">
        <f t="shared" si="84"/>
        <v>0</v>
      </c>
      <c r="BH206" s="147">
        <f t="shared" si="84"/>
        <v>0</v>
      </c>
      <c r="BI206" s="53">
        <f>AVERAGE(BD206:BH206)</f>
        <v>1328</v>
      </c>
    </row>
    <row r="207" spans="8:61" ht="12">
      <c r="H207" s="64" t="s">
        <v>77</v>
      </c>
      <c r="I207" s="60"/>
      <c r="J207" s="60"/>
      <c r="K207" s="62" t="s">
        <v>71</v>
      </c>
      <c r="L207" s="62" t="s">
        <v>71</v>
      </c>
      <c r="M207" s="62" t="s">
        <v>71</v>
      </c>
      <c r="N207" s="62" t="s">
        <v>71</v>
      </c>
      <c r="O207" s="62" t="s">
        <v>71</v>
      </c>
      <c r="P207" s="63" t="s">
        <v>71</v>
      </c>
      <c r="Q207" s="25" t="s">
        <v>80</v>
      </c>
      <c r="S207" s="132">
        <f>T207-X207</f>
        <v>-8816</v>
      </c>
      <c r="T207" s="42">
        <v>-15616</v>
      </c>
      <c r="U207" s="42">
        <v>-18492</v>
      </c>
      <c r="V207" s="42">
        <v>-10343</v>
      </c>
      <c r="W207" s="42">
        <v>-12236</v>
      </c>
      <c r="X207" s="42">
        <v>-6800</v>
      </c>
      <c r="Y207" s="53">
        <f>AVERAGE(T207:X207)</f>
        <v>-12697.4</v>
      </c>
      <c r="AC207" s="28" t="s">
        <v>68</v>
      </c>
      <c r="AD207" s="28" t="s">
        <v>68</v>
      </c>
      <c r="AE207" s="28" t="s">
        <v>68</v>
      </c>
      <c r="AF207" s="28" t="s">
        <v>68</v>
      </c>
      <c r="AG207" s="28" t="s">
        <v>68</v>
      </c>
      <c r="AH207" s="138" t="s">
        <v>68</v>
      </c>
      <c r="AI207" s="25" t="s">
        <v>80</v>
      </c>
      <c r="AJ207" s="25"/>
      <c r="AK207" s="132">
        <f>AL207-AM207</f>
        <v>94</v>
      </c>
      <c r="AL207" s="42">
        <f t="shared" si="83"/>
        <v>-236</v>
      </c>
      <c r="AM207" s="42">
        <f t="shared" si="83"/>
        <v>-330</v>
      </c>
      <c r="AN207" s="42">
        <f t="shared" si="83"/>
        <v>-192</v>
      </c>
      <c r="AO207" s="42">
        <f t="shared" si="83"/>
        <v>0</v>
      </c>
      <c r="AP207" s="42">
        <f t="shared" si="83"/>
        <v>0</v>
      </c>
      <c r="AQ207" s="53">
        <f>AVERAGE(AL207:AP207)</f>
        <v>-151.6</v>
      </c>
      <c r="AR207" s="60"/>
      <c r="AS207" s="60"/>
      <c r="AT207" s="60"/>
      <c r="AU207" s="62" t="s">
        <v>68</v>
      </c>
      <c r="AV207" s="62" t="s">
        <v>68</v>
      </c>
      <c r="AW207" s="62" t="s">
        <v>68</v>
      </c>
      <c r="AX207" s="62" t="s">
        <v>68</v>
      </c>
      <c r="AY207" s="62" t="s">
        <v>68</v>
      </c>
      <c r="AZ207" s="138" t="s">
        <v>68</v>
      </c>
      <c r="BA207" s="133" t="s">
        <v>80</v>
      </c>
      <c r="BC207" s="146">
        <f>BD207-BE207</f>
        <v>-650</v>
      </c>
      <c r="BD207" s="147">
        <f t="shared" si="84"/>
        <v>658</v>
      </c>
      <c r="BE207" s="147">
        <f t="shared" si="84"/>
        <v>1308</v>
      </c>
      <c r="BF207" s="147">
        <f t="shared" si="84"/>
        <v>0</v>
      </c>
      <c r="BG207" s="147">
        <f t="shared" si="84"/>
        <v>0</v>
      </c>
      <c r="BH207" s="147">
        <f t="shared" si="84"/>
        <v>0</v>
      </c>
      <c r="BI207" s="53">
        <f>AVERAGE(BD207:BH207)</f>
        <v>393.2</v>
      </c>
    </row>
    <row r="208" spans="8:61" ht="12">
      <c r="H208" s="60"/>
      <c r="I208" s="60"/>
      <c r="J208" s="60"/>
      <c r="K208" s="62" t="s">
        <v>38</v>
      </c>
      <c r="L208" s="62" t="s">
        <v>38</v>
      </c>
      <c r="M208" s="62" t="s">
        <v>38</v>
      </c>
      <c r="N208" s="62" t="s">
        <v>38</v>
      </c>
      <c r="O208" s="62" t="s">
        <v>38</v>
      </c>
      <c r="P208" s="62" t="s">
        <v>38</v>
      </c>
      <c r="Q208" s="25" t="s">
        <v>75</v>
      </c>
      <c r="S208" s="132">
        <f>T208-X208</f>
        <v>8778</v>
      </c>
      <c r="T208" s="42">
        <v>-6031</v>
      </c>
      <c r="U208" s="42">
        <v>-5034</v>
      </c>
      <c r="V208" s="42">
        <v>-9856</v>
      </c>
      <c r="W208" s="42">
        <v>-10959</v>
      </c>
      <c r="X208" s="42">
        <v>-14809</v>
      </c>
      <c r="Y208" s="53">
        <f>AVERAGE(T208:X208)</f>
        <v>-9337.8</v>
      </c>
      <c r="Z208" s="25" t="s">
        <v>79</v>
      </c>
      <c r="AB208" s="132">
        <f>AC208-AE208</f>
        <v>115</v>
      </c>
      <c r="AC208" s="42">
        <v>217</v>
      </c>
      <c r="AD208" s="42">
        <v>181</v>
      </c>
      <c r="AE208" s="42">
        <v>102</v>
      </c>
      <c r="AF208" s="42"/>
      <c r="AG208" s="42"/>
      <c r="AH208" s="53">
        <f>AVERAGE(AC208:AG208)</f>
        <v>166.66666666666666</v>
      </c>
      <c r="AI208" s="25" t="s">
        <v>75</v>
      </c>
      <c r="AJ208" s="25"/>
      <c r="AK208" s="132">
        <f>AL208-AM208</f>
        <v>-122</v>
      </c>
      <c r="AL208" s="42">
        <f t="shared" si="83"/>
        <v>-140</v>
      </c>
      <c r="AM208" s="42">
        <f t="shared" si="83"/>
        <v>-18</v>
      </c>
      <c r="AN208" s="42">
        <f t="shared" si="83"/>
        <v>-128</v>
      </c>
      <c r="AO208" s="42">
        <f t="shared" si="83"/>
        <v>0</v>
      </c>
      <c r="AP208" s="42">
        <f t="shared" si="83"/>
        <v>0</v>
      </c>
      <c r="AQ208" s="53">
        <f>AVERAGE(AL208:AP208)</f>
        <v>-57.2</v>
      </c>
      <c r="AR208" s="60" t="s">
        <v>79</v>
      </c>
      <c r="AS208" s="60"/>
      <c r="AT208" s="132">
        <f>AU208-AV208</f>
        <v>-130</v>
      </c>
      <c r="AU208" s="65">
        <v>1595</v>
      </c>
      <c r="AV208" s="65">
        <v>1725</v>
      </c>
      <c r="AW208" s="65"/>
      <c r="AX208" s="65"/>
      <c r="AY208" s="65"/>
      <c r="AZ208" s="53">
        <f>AVERAGE(AU208:AY208)</f>
        <v>1660</v>
      </c>
      <c r="BA208" s="133" t="s">
        <v>75</v>
      </c>
      <c r="BC208" s="146">
        <f>BD208-BE208</f>
        <v>544</v>
      </c>
      <c r="BD208" s="147">
        <f t="shared" si="84"/>
        <v>-3982</v>
      </c>
      <c r="BE208" s="147">
        <f t="shared" si="84"/>
        <v>-4526</v>
      </c>
      <c r="BF208" s="147">
        <f t="shared" si="84"/>
        <v>0</v>
      </c>
      <c r="BG208" s="147">
        <f t="shared" si="84"/>
        <v>0</v>
      </c>
      <c r="BH208" s="147">
        <f t="shared" si="84"/>
        <v>0</v>
      </c>
      <c r="BI208" s="53">
        <f>AVERAGE(BD208:BH208)</f>
        <v>-1701.6</v>
      </c>
    </row>
    <row r="209" spans="8:61" ht="12">
      <c r="H209" s="60" t="s">
        <v>79</v>
      </c>
      <c r="I209" s="60"/>
      <c r="J209" s="68"/>
      <c r="K209" s="65">
        <v>3031</v>
      </c>
      <c r="L209" s="65">
        <v>1857</v>
      </c>
      <c r="M209" s="65">
        <v>3066</v>
      </c>
      <c r="N209" s="65">
        <v>-951</v>
      </c>
      <c r="O209" s="65">
        <v>888</v>
      </c>
      <c r="P209" s="66">
        <f>AVERAGE(K209:O209)</f>
        <v>1578.2</v>
      </c>
      <c r="Q209" s="25" t="s">
        <v>64</v>
      </c>
      <c r="S209" s="132">
        <f>T209-X209</f>
        <v>1797</v>
      </c>
      <c r="T209" s="42">
        <v>3219</v>
      </c>
      <c r="U209" s="42">
        <v>760</v>
      </c>
      <c r="V209" s="42">
        <v>2261</v>
      </c>
      <c r="W209" s="42">
        <v>669</v>
      </c>
      <c r="X209" s="42">
        <v>1422</v>
      </c>
      <c r="Y209" s="53">
        <f>AVERAGE(T209:X209)</f>
        <v>1666.2</v>
      </c>
      <c r="Z209" s="25" t="s">
        <v>80</v>
      </c>
      <c r="AB209" s="132">
        <f>AC209-AE209</f>
        <v>-22</v>
      </c>
      <c r="AC209" s="42">
        <v>-118</v>
      </c>
      <c r="AD209" s="42">
        <v>-165</v>
      </c>
      <c r="AE209" s="42">
        <v>-96</v>
      </c>
      <c r="AF209" s="42"/>
      <c r="AG209" s="42"/>
      <c r="AH209" s="53">
        <f>AVERAGE(AC209:AG209)</f>
        <v>-126.33333333333333</v>
      </c>
      <c r="AI209" s="25" t="s">
        <v>64</v>
      </c>
      <c r="AJ209" s="25"/>
      <c r="AK209" s="132">
        <f>AL209-AM209</f>
        <v>56</v>
      </c>
      <c r="AL209" s="42">
        <f>2*AC212</f>
        <v>18</v>
      </c>
      <c r="AM209" s="42">
        <f>2*AD212</f>
        <v>-38</v>
      </c>
      <c r="AN209" s="42">
        <f>2*AE212</f>
        <v>-52</v>
      </c>
      <c r="AO209" s="42">
        <f>2*AF212</f>
        <v>0</v>
      </c>
      <c r="AP209" s="42">
        <f>2*AG212</f>
        <v>0</v>
      </c>
      <c r="AQ209" s="53">
        <f>AVERAGE(AL209:AP209)</f>
        <v>-14.4</v>
      </c>
      <c r="AR209" s="60" t="s">
        <v>80</v>
      </c>
      <c r="AS209" s="60"/>
      <c r="AT209" s="132">
        <f>AU209-AV209</f>
        <v>-325</v>
      </c>
      <c r="AU209" s="65">
        <v>329</v>
      </c>
      <c r="AV209" s="65">
        <v>654</v>
      </c>
      <c r="AW209" s="65"/>
      <c r="AX209" s="65"/>
      <c r="AY209" s="65"/>
      <c r="AZ209" s="53">
        <f>AVERAGE(AU209:AY209)</f>
        <v>491.5</v>
      </c>
      <c r="BA209" s="133" t="s">
        <v>64</v>
      </c>
      <c r="BC209" s="146">
        <f>BD209-BE209</f>
        <v>-156</v>
      </c>
      <c r="BD209" s="147">
        <f>2*AU212</f>
        <v>1302</v>
      </c>
      <c r="BE209" s="147">
        <f>2*AV212</f>
        <v>1458</v>
      </c>
      <c r="BF209" s="147">
        <f>2*AW212</f>
        <v>0</v>
      </c>
      <c r="BG209" s="147">
        <f>2*AX212</f>
        <v>0</v>
      </c>
      <c r="BH209" s="147">
        <f>2*AY212</f>
        <v>0</v>
      </c>
      <c r="BI209" s="53">
        <f>AVERAGE(BD209:BH209)</f>
        <v>552</v>
      </c>
    </row>
    <row r="210" spans="8:61" ht="12">
      <c r="H210" s="60" t="s">
        <v>80</v>
      </c>
      <c r="I210" s="60"/>
      <c r="J210" s="68"/>
      <c r="K210" s="65">
        <v>-230</v>
      </c>
      <c r="L210" s="65">
        <v>-38</v>
      </c>
      <c r="M210" s="65">
        <v>-10</v>
      </c>
      <c r="N210" s="65">
        <v>-19</v>
      </c>
      <c r="O210" s="65">
        <v>-93</v>
      </c>
      <c r="P210" s="66">
        <f>AVERAGE(K210:O210)</f>
        <v>-78</v>
      </c>
      <c r="Z210" s="25" t="s">
        <v>75</v>
      </c>
      <c r="AB210" s="132">
        <f>AC210-AE210</f>
        <v>-6</v>
      </c>
      <c r="AC210" s="42">
        <v>-70</v>
      </c>
      <c r="AD210" s="42">
        <v>-9</v>
      </c>
      <c r="AE210" s="42">
        <v>-64</v>
      </c>
      <c r="AF210" s="42"/>
      <c r="AG210" s="42"/>
      <c r="AH210" s="53">
        <f>AVERAGE(AC210:AG210)</f>
        <v>-47.666666666666664</v>
      </c>
      <c r="AI210" s="25"/>
      <c r="AJ210" s="25"/>
      <c r="AK210" s="25"/>
      <c r="AL210" s="25"/>
      <c r="AM210" s="25"/>
      <c r="AN210" s="25"/>
      <c r="AO210" s="25"/>
      <c r="AP210" s="25"/>
      <c r="AQ210" s="137"/>
      <c r="AR210" s="60" t="s">
        <v>75</v>
      </c>
      <c r="AS210" s="60"/>
      <c r="AT210" s="132">
        <f>AU210-AV210</f>
        <v>272</v>
      </c>
      <c r="AU210" s="65">
        <v>-1991</v>
      </c>
      <c r="AV210" s="65">
        <v>-2263</v>
      </c>
      <c r="AW210" s="65"/>
      <c r="AX210" s="65"/>
      <c r="AY210" s="65"/>
      <c r="AZ210" s="53">
        <f>AVERAGE(AU210:AY210)</f>
        <v>-2127</v>
      </c>
      <c r="BA210" s="139"/>
      <c r="BB210" s="139"/>
      <c r="BI210" s="137"/>
    </row>
    <row r="211" spans="8:61" ht="12">
      <c r="H211" s="60" t="s">
        <v>75</v>
      </c>
      <c r="I211" s="60"/>
      <c r="J211" s="68"/>
      <c r="K211" s="65">
        <v>-2801</v>
      </c>
      <c r="L211" s="65">
        <v>-1819</v>
      </c>
      <c r="M211" s="65">
        <v>-3057</v>
      </c>
      <c r="N211" s="65">
        <v>965</v>
      </c>
      <c r="O211" s="65">
        <v>-797</v>
      </c>
      <c r="P211" s="66">
        <f>AVERAGE(K211:O211)</f>
        <v>-1501.8</v>
      </c>
      <c r="Q211" s="139" t="s">
        <v>282</v>
      </c>
      <c r="R211" s="133"/>
      <c r="S211" s="133"/>
      <c r="T211" s="28" t="s">
        <v>71</v>
      </c>
      <c r="U211" s="28" t="s">
        <v>71</v>
      </c>
      <c r="V211" s="28" t="s">
        <v>71</v>
      </c>
      <c r="W211" s="28" t="s">
        <v>71</v>
      </c>
      <c r="X211" s="28" t="s">
        <v>71</v>
      </c>
      <c r="Y211" s="138" t="s">
        <v>71</v>
      </c>
      <c r="Z211" s="25" t="s">
        <v>63</v>
      </c>
      <c r="AB211" s="132">
        <f>AC211-AE211</f>
        <v>-49</v>
      </c>
      <c r="AC211" s="42">
        <v>-19</v>
      </c>
      <c r="AD211" s="42">
        <v>-26</v>
      </c>
      <c r="AE211" s="42">
        <v>30</v>
      </c>
      <c r="AF211" s="42"/>
      <c r="AG211" s="42"/>
      <c r="AH211" s="53">
        <f>AVERAGE(AC211:AG211)</f>
        <v>-5</v>
      </c>
      <c r="AI211" s="139" t="s">
        <v>282</v>
      </c>
      <c r="AL211" s="28" t="s">
        <v>71</v>
      </c>
      <c r="AM211" s="28" t="s">
        <v>71</v>
      </c>
      <c r="AN211" s="28" t="s">
        <v>71</v>
      </c>
      <c r="AO211" s="28" t="s">
        <v>71</v>
      </c>
      <c r="AP211" s="28" t="s">
        <v>71</v>
      </c>
      <c r="AQ211" s="138" t="s">
        <v>71</v>
      </c>
      <c r="AR211" s="60" t="s">
        <v>63</v>
      </c>
      <c r="AS211" s="60"/>
      <c r="AT211" s="132">
        <f>AU211-AV211</f>
        <v>61</v>
      </c>
      <c r="AU211" s="65">
        <v>729</v>
      </c>
      <c r="AV211" s="65">
        <v>668</v>
      </c>
      <c r="AW211" s="65"/>
      <c r="AX211" s="65"/>
      <c r="AY211" s="65"/>
      <c r="AZ211" s="53">
        <f>AVERAGE(AU211:AY211)</f>
        <v>698.5</v>
      </c>
      <c r="BA211" s="139" t="s">
        <v>282</v>
      </c>
      <c r="BD211" s="28" t="s">
        <v>71</v>
      </c>
      <c r="BE211" s="28" t="s">
        <v>71</v>
      </c>
      <c r="BF211" s="28" t="s">
        <v>71</v>
      </c>
      <c r="BG211" s="28" t="s">
        <v>71</v>
      </c>
      <c r="BH211" s="28" t="s">
        <v>71</v>
      </c>
      <c r="BI211" s="138" t="s">
        <v>71</v>
      </c>
    </row>
    <row r="212" spans="8:61" ht="12">
      <c r="H212" s="60" t="s">
        <v>63</v>
      </c>
      <c r="I212" s="60"/>
      <c r="J212" s="68"/>
      <c r="K212" s="65">
        <v>3</v>
      </c>
      <c r="L212" s="65">
        <v>3</v>
      </c>
      <c r="M212" s="65">
        <v>4</v>
      </c>
      <c r="N212" s="65">
        <v>9</v>
      </c>
      <c r="O212" s="65">
        <v>11</v>
      </c>
      <c r="P212" s="66">
        <f>AVERAGE(K212:O212)</f>
        <v>6</v>
      </c>
      <c r="Q212" s="133"/>
      <c r="R212" s="133"/>
      <c r="S212" s="133"/>
      <c r="T212" s="28" t="s">
        <v>38</v>
      </c>
      <c r="U212" s="28" t="s">
        <v>38</v>
      </c>
      <c r="V212" s="28" t="s">
        <v>38</v>
      </c>
      <c r="W212" s="28" t="s">
        <v>38</v>
      </c>
      <c r="X212" s="28" t="s">
        <v>38</v>
      </c>
      <c r="Y212" s="143" t="s">
        <v>38</v>
      </c>
      <c r="Z212" s="25" t="s">
        <v>64</v>
      </c>
      <c r="AB212" s="132">
        <f>AC212-AE212</f>
        <v>35</v>
      </c>
      <c r="AC212" s="42">
        <v>9</v>
      </c>
      <c r="AD212" s="42">
        <v>-19</v>
      </c>
      <c r="AE212" s="42">
        <v>-26</v>
      </c>
      <c r="AF212" s="42"/>
      <c r="AG212" s="42"/>
      <c r="AH212" s="53">
        <f>AVERAGE(AC212:AG212)</f>
        <v>-12</v>
      </c>
      <c r="AL212" s="28" t="s">
        <v>38</v>
      </c>
      <c r="AM212" s="28" t="s">
        <v>38</v>
      </c>
      <c r="AN212" s="28" t="s">
        <v>38</v>
      </c>
      <c r="AO212" s="28" t="s">
        <v>38</v>
      </c>
      <c r="AP212" s="28" t="s">
        <v>38</v>
      </c>
      <c r="AQ212" s="143" t="s">
        <v>38</v>
      </c>
      <c r="AR212" s="60" t="s">
        <v>64</v>
      </c>
      <c r="AS212" s="60"/>
      <c r="AT212" s="132">
        <f>AU212-AV212</f>
        <v>-78</v>
      </c>
      <c r="AU212" s="65">
        <v>651</v>
      </c>
      <c r="AV212" s="65">
        <v>729</v>
      </c>
      <c r="AW212" s="65"/>
      <c r="AX212" s="65"/>
      <c r="AY212" s="65"/>
      <c r="AZ212" s="53">
        <f>AVERAGE(AU212:AY212)</f>
        <v>690</v>
      </c>
      <c r="BD212" s="28" t="s">
        <v>38</v>
      </c>
      <c r="BE212" s="28" t="s">
        <v>38</v>
      </c>
      <c r="BF212" s="28" t="s">
        <v>38</v>
      </c>
      <c r="BG212" s="28" t="s">
        <v>38</v>
      </c>
      <c r="BH212" s="28" t="s">
        <v>38</v>
      </c>
      <c r="BI212" s="143" t="s">
        <v>38</v>
      </c>
    </row>
    <row r="213" spans="8:61" ht="12">
      <c r="H213" s="60" t="s">
        <v>64</v>
      </c>
      <c r="I213" s="60"/>
      <c r="J213" s="68"/>
      <c r="K213" s="65">
        <v>3</v>
      </c>
      <c r="L213" s="65">
        <v>3</v>
      </c>
      <c r="M213" s="65">
        <v>3</v>
      </c>
      <c r="N213" s="65">
        <v>4</v>
      </c>
      <c r="O213" s="65">
        <v>9</v>
      </c>
      <c r="P213" s="66">
        <f>AVERAGE(K213:O213)</f>
        <v>4.4</v>
      </c>
      <c r="Q213" s="25" t="s">
        <v>283</v>
      </c>
      <c r="R213" s="22"/>
      <c r="S213" s="132">
        <f>T213-X213</f>
        <v>4316</v>
      </c>
      <c r="T213" s="42">
        <v>5655</v>
      </c>
      <c r="U213" s="42">
        <v>315</v>
      </c>
      <c r="V213" s="42">
        <v>837</v>
      </c>
      <c r="W213" s="42">
        <v>1389</v>
      </c>
      <c r="X213" s="42">
        <v>1339</v>
      </c>
      <c r="Y213" s="53">
        <f>AVERAGE(T213:X213)</f>
        <v>1907</v>
      </c>
      <c r="AH213" s="137"/>
      <c r="AI213" s="25" t="s">
        <v>283</v>
      </c>
      <c r="AJ213" s="22"/>
      <c r="AK213" s="132">
        <f>AL213-AP213</f>
        <v>354</v>
      </c>
      <c r="AL213" s="25">
        <v>1260</v>
      </c>
      <c r="AM213" s="25">
        <v>1230</v>
      </c>
      <c r="AN213" s="25">
        <v>940</v>
      </c>
      <c r="AO213" s="25">
        <v>902</v>
      </c>
      <c r="AP213" s="25">
        <v>906</v>
      </c>
      <c r="AQ213" s="53">
        <f>AVERAGE(AL213:AP213)</f>
        <v>1047.6</v>
      </c>
      <c r="AR213" s="60"/>
      <c r="AS213" s="60"/>
      <c r="AT213" s="60"/>
      <c r="AU213" s="60"/>
      <c r="AV213" s="60"/>
      <c r="AW213" s="60"/>
      <c r="AX213" s="60"/>
      <c r="AY213" s="60"/>
      <c r="AZ213" s="137"/>
      <c r="BA213" s="25" t="s">
        <v>283</v>
      </c>
      <c r="BB213" s="22"/>
      <c r="BC213" s="132">
        <f>BD213-BH213</f>
        <v>-1800</v>
      </c>
      <c r="BD213" s="42">
        <v>9068</v>
      </c>
      <c r="BE213" s="42">
        <v>8818</v>
      </c>
      <c r="BF213" s="42">
        <v>8024</v>
      </c>
      <c r="BG213" s="42">
        <v>8576</v>
      </c>
      <c r="BH213" s="42">
        <v>10868</v>
      </c>
      <c r="BI213" s="53">
        <f>AVERAGE(BD213:BH213)</f>
        <v>9070.8</v>
      </c>
    </row>
    <row r="214" spans="8:61" ht="12">
      <c r="H214" s="60"/>
      <c r="I214" s="60"/>
      <c r="J214" s="60"/>
      <c r="K214" s="60"/>
      <c r="L214" s="60"/>
      <c r="M214" s="60"/>
      <c r="N214" s="60"/>
      <c r="O214" s="60"/>
      <c r="P214" s="61"/>
      <c r="Q214" s="133" t="s">
        <v>284</v>
      </c>
      <c r="R214" s="133"/>
      <c r="S214" s="132">
        <f>T214-X214</f>
        <v>8598</v>
      </c>
      <c r="T214" s="42">
        <v>82356</v>
      </c>
      <c r="U214" s="42">
        <v>72987</v>
      </c>
      <c r="V214" s="42">
        <v>74124</v>
      </c>
      <c r="W214" s="42">
        <v>75316</v>
      </c>
      <c r="X214" s="42">
        <v>73758</v>
      </c>
      <c r="Y214" s="53">
        <f>AVERAGE(T214:X214)</f>
        <v>75708.2</v>
      </c>
      <c r="AC214" s="28" t="s">
        <v>71</v>
      </c>
      <c r="AD214" s="28" t="s">
        <v>71</v>
      </c>
      <c r="AE214" s="28" t="s">
        <v>71</v>
      </c>
      <c r="AF214" s="28" t="s">
        <v>71</v>
      </c>
      <c r="AG214" s="28" t="s">
        <v>71</v>
      </c>
      <c r="AH214" s="138" t="s">
        <v>71</v>
      </c>
      <c r="AI214" s="133" t="s">
        <v>284</v>
      </c>
      <c r="AK214" s="132">
        <f>AL214-AP214</f>
        <v>146</v>
      </c>
      <c r="AL214" s="133">
        <v>342</v>
      </c>
      <c r="AM214" s="133">
        <v>300</v>
      </c>
      <c r="AN214" s="133">
        <v>258</v>
      </c>
      <c r="AO214" s="133">
        <v>223</v>
      </c>
      <c r="AP214" s="133">
        <v>196</v>
      </c>
      <c r="AQ214" s="53">
        <f>AVERAGE(AL214:AP214)</f>
        <v>263.8</v>
      </c>
      <c r="AR214" s="60"/>
      <c r="AS214" s="60"/>
      <c r="AT214" s="60"/>
      <c r="AU214" s="62" t="s">
        <v>71</v>
      </c>
      <c r="AV214" s="62" t="s">
        <v>71</v>
      </c>
      <c r="AW214" s="62" t="s">
        <v>71</v>
      </c>
      <c r="AX214" s="62" t="s">
        <v>71</v>
      </c>
      <c r="AY214" s="62" t="s">
        <v>71</v>
      </c>
      <c r="AZ214" s="138" t="s">
        <v>71</v>
      </c>
      <c r="BA214" s="133" t="s">
        <v>284</v>
      </c>
      <c r="BC214" s="132">
        <f>BD214-BH214</f>
        <v>-1186</v>
      </c>
      <c r="BD214" s="42">
        <v>3904</v>
      </c>
      <c r="BE214" s="42">
        <v>3838</v>
      </c>
      <c r="BF214" s="42">
        <v>3952</v>
      </c>
      <c r="BG214" s="42">
        <v>3948</v>
      </c>
      <c r="BH214" s="42">
        <v>5090</v>
      </c>
      <c r="BI214" s="53">
        <f>AVERAGE(BD214:BH214)</f>
        <v>4146.4</v>
      </c>
    </row>
    <row r="215" spans="8:61" ht="12">
      <c r="H215" s="60"/>
      <c r="I215" s="60"/>
      <c r="J215" s="60"/>
      <c r="K215" s="62" t="s">
        <v>71</v>
      </c>
      <c r="L215" s="62" t="s">
        <v>71</v>
      </c>
      <c r="M215" s="62" t="s">
        <v>71</v>
      </c>
      <c r="N215" s="62" t="s">
        <v>71</v>
      </c>
      <c r="O215" s="62" t="s">
        <v>71</v>
      </c>
      <c r="P215" s="63" t="s">
        <v>71</v>
      </c>
      <c r="R215" s="22"/>
      <c r="S215" s="132"/>
      <c r="T215" s="42"/>
      <c r="U215" s="42"/>
      <c r="V215" s="42"/>
      <c r="W215" s="42"/>
      <c r="X215" s="42"/>
      <c r="Y215" s="53"/>
      <c r="Z215" s="22"/>
      <c r="AA215" s="22"/>
      <c r="AB215" s="22"/>
      <c r="AC215" s="28" t="s">
        <v>68</v>
      </c>
      <c r="AD215" s="28" t="s">
        <v>68</v>
      </c>
      <c r="AE215" s="28" t="s">
        <v>68</v>
      </c>
      <c r="AF215" s="28" t="s">
        <v>68</v>
      </c>
      <c r="AG215" s="28" t="s">
        <v>68</v>
      </c>
      <c r="AH215" s="138" t="s">
        <v>68</v>
      </c>
      <c r="AI215" s="25"/>
      <c r="AJ215" s="22"/>
      <c r="AK215" s="132"/>
      <c r="AL215" s="25"/>
      <c r="AM215" s="25"/>
      <c r="AN215" s="25"/>
      <c r="AO215" s="25"/>
      <c r="AP215" s="25"/>
      <c r="AQ215" s="53"/>
      <c r="AR215" s="64"/>
      <c r="AS215" s="64"/>
      <c r="AT215" s="64"/>
      <c r="AU215" s="62" t="s">
        <v>68</v>
      </c>
      <c r="AV215" s="62" t="s">
        <v>68</v>
      </c>
      <c r="AW215" s="62" t="s">
        <v>68</v>
      </c>
      <c r="AX215" s="62" t="s">
        <v>68</v>
      </c>
      <c r="AY215" s="62" t="s">
        <v>68</v>
      </c>
      <c r="AZ215" s="138" t="s">
        <v>68</v>
      </c>
      <c r="BA215" s="25"/>
      <c r="BB215" s="22"/>
      <c r="BC215" s="132"/>
      <c r="BD215" s="42"/>
      <c r="BE215" s="42"/>
      <c r="BF215" s="42"/>
      <c r="BG215" s="42"/>
      <c r="BH215" s="42"/>
      <c r="BI215" s="53"/>
    </row>
    <row r="216" spans="8:52" ht="12">
      <c r="H216" s="64"/>
      <c r="I216" s="64"/>
      <c r="J216" s="64"/>
      <c r="K216" s="62" t="s">
        <v>38</v>
      </c>
      <c r="L216" s="62" t="s">
        <v>38</v>
      </c>
      <c r="M216" s="62" t="s">
        <v>38</v>
      </c>
      <c r="N216" s="62" t="s">
        <v>38</v>
      </c>
      <c r="O216" s="62" t="s">
        <v>38</v>
      </c>
      <c r="P216" s="62" t="s">
        <v>38</v>
      </c>
      <c r="Z216" s="22" t="s">
        <v>102</v>
      </c>
      <c r="AB216" s="132">
        <f>AC216-AG216</f>
        <v>240</v>
      </c>
      <c r="AC216" s="42">
        <f>AC188-AC189</f>
        <v>733</v>
      </c>
      <c r="AD216" s="42">
        <f>AD188-AD189</f>
        <v>665</v>
      </c>
      <c r="AE216" s="42">
        <f>AE188-AE189</f>
        <v>557</v>
      </c>
      <c r="AF216" s="42">
        <f>AF188-AF189</f>
        <v>512</v>
      </c>
      <c r="AG216" s="42">
        <f>AG188-AG189</f>
        <v>493</v>
      </c>
      <c r="AH216" s="53">
        <f>AVERAGE(AC216:AG216)</f>
        <v>592</v>
      </c>
      <c r="AR216" s="64" t="s">
        <v>102</v>
      </c>
      <c r="AS216" s="60"/>
      <c r="AT216" s="132">
        <f>AU216-AY216</f>
        <v>-538</v>
      </c>
      <c r="AU216" s="65">
        <f>AU188-AU189</f>
        <v>10592</v>
      </c>
      <c r="AV216" s="65">
        <f>AV188-AV189</f>
        <v>10315</v>
      </c>
      <c r="AW216" s="65">
        <f>AW188-AW189</f>
        <v>9067</v>
      </c>
      <c r="AX216" s="65">
        <f>AX188-AX189</f>
        <v>8342</v>
      </c>
      <c r="AY216" s="65">
        <f>AY188-AY189</f>
        <v>11130</v>
      </c>
      <c r="AZ216" s="53">
        <f>AVERAGE(AU216:AY216)</f>
        <v>9889.2</v>
      </c>
    </row>
    <row r="217" spans="8:52" ht="12">
      <c r="H217" s="64" t="s">
        <v>102</v>
      </c>
      <c r="I217" s="60"/>
      <c r="J217" s="60"/>
      <c r="K217" s="65">
        <f>K189-K190</f>
        <v>16505</v>
      </c>
      <c r="L217" s="65">
        <f>L189-L190</f>
        <v>15810</v>
      </c>
      <c r="M217" s="65">
        <f>M189-M190</f>
        <v>22157</v>
      </c>
      <c r="N217" s="65">
        <f>N189-N190</f>
        <v>22840</v>
      </c>
      <c r="O217" s="65">
        <f>O189-O190</f>
        <v>18697</v>
      </c>
      <c r="P217" s="66">
        <f>AVERAGE(K217:O217)</f>
        <v>19201.8</v>
      </c>
      <c r="Z217" s="22" t="s">
        <v>104</v>
      </c>
      <c r="AB217" s="132">
        <f>AC217-AG217</f>
        <v>601</v>
      </c>
      <c r="AC217" s="42">
        <f>AC193-AC216</f>
        <v>1006</v>
      </c>
      <c r="AD217" s="42">
        <f>AD193-AD216</f>
        <v>771</v>
      </c>
      <c r="AE217" s="42">
        <f>AE193-AE216</f>
        <v>725</v>
      </c>
      <c r="AF217" s="42">
        <f>AF193-AF216</f>
        <v>561</v>
      </c>
      <c r="AG217" s="42">
        <f>AG193-AG216</f>
        <v>405</v>
      </c>
      <c r="AH217" s="53">
        <f>AVERAGE(AC217:AG217)</f>
        <v>693.6</v>
      </c>
      <c r="AR217" s="64" t="s">
        <v>104</v>
      </c>
      <c r="AS217" s="60"/>
      <c r="AT217" s="132">
        <f>AU217-AY217</f>
        <v>-3484</v>
      </c>
      <c r="AU217" s="65">
        <f>AU193-AU216</f>
        <v>-3332</v>
      </c>
      <c r="AV217" s="65">
        <f>AV193-AV216</f>
        <v>-1279</v>
      </c>
      <c r="AW217" s="65">
        <f>AW193-AW216</f>
        <v>-176</v>
      </c>
      <c r="AX217" s="65">
        <f>AX193-AX216</f>
        <v>939</v>
      </c>
      <c r="AY217" s="65">
        <f>AY193-AY216</f>
        <v>152</v>
      </c>
      <c r="AZ217" s="53">
        <f>AVERAGE(AU217:AY217)</f>
        <v>-739.2</v>
      </c>
    </row>
    <row r="218" spans="8:61" ht="12">
      <c r="H218" s="64" t="s">
        <v>103</v>
      </c>
      <c r="I218" s="60"/>
      <c r="J218" s="60"/>
      <c r="K218" s="65">
        <f>K194-K195</f>
        <v>-356</v>
      </c>
      <c r="L218" s="65">
        <f>L194-L195</f>
        <v>-496</v>
      </c>
      <c r="M218" s="65">
        <f>M194-M195</f>
        <v>-498</v>
      </c>
      <c r="N218" s="65">
        <f>N194-N195</f>
        <v>-418</v>
      </c>
      <c r="O218" s="65">
        <f>O194-O195</f>
        <v>-428</v>
      </c>
      <c r="P218" s="66">
        <f>AVERAGE(K218:O218)</f>
        <v>-439.2</v>
      </c>
      <c r="T218" s="28" t="s">
        <v>71</v>
      </c>
      <c r="U218" s="28" t="s">
        <v>71</v>
      </c>
      <c r="V218" s="28" t="s">
        <v>71</v>
      </c>
      <c r="W218" s="28" t="s">
        <v>71</v>
      </c>
      <c r="X218" s="28" t="s">
        <v>71</v>
      </c>
      <c r="Y218" s="138" t="s">
        <v>71</v>
      </c>
      <c r="Z218" s="22"/>
      <c r="AC218" s="33"/>
      <c r="AD218" s="33"/>
      <c r="AE218" s="33"/>
      <c r="AF218" s="33"/>
      <c r="AG218" s="33"/>
      <c r="AH218" s="140"/>
      <c r="AI218" s="25"/>
      <c r="AJ218" s="25"/>
      <c r="AK218" s="25"/>
      <c r="AL218" s="28" t="s">
        <v>71</v>
      </c>
      <c r="AM218" s="28" t="s">
        <v>71</v>
      </c>
      <c r="AN218" s="28" t="s">
        <v>71</v>
      </c>
      <c r="AO218" s="28" t="s">
        <v>71</v>
      </c>
      <c r="AP218" s="28" t="s">
        <v>71</v>
      </c>
      <c r="AQ218" s="138" t="s">
        <v>71</v>
      </c>
      <c r="AR218" s="64"/>
      <c r="AS218" s="60"/>
      <c r="AT218" s="60"/>
      <c r="AU218" s="69"/>
      <c r="AV218" s="69"/>
      <c r="AW218" s="69"/>
      <c r="AX218" s="69"/>
      <c r="AY218" s="69"/>
      <c r="AZ218" s="140"/>
      <c r="BD218" s="143" t="s">
        <v>71</v>
      </c>
      <c r="BE218" s="143" t="s">
        <v>71</v>
      </c>
      <c r="BF218" s="143" t="s">
        <v>71</v>
      </c>
      <c r="BG218" s="143" t="s">
        <v>71</v>
      </c>
      <c r="BH218" s="143" t="s">
        <v>71</v>
      </c>
      <c r="BI218" s="138" t="s">
        <v>71</v>
      </c>
    </row>
    <row r="219" spans="8:61" ht="12">
      <c r="H219" s="64" t="s">
        <v>104</v>
      </c>
      <c r="I219" s="60"/>
      <c r="J219" s="60"/>
      <c r="K219" s="65">
        <f>K194-K217</f>
        <v>-16309</v>
      </c>
      <c r="L219" s="65">
        <f>L194-L217</f>
        <v>-15627</v>
      </c>
      <c r="M219" s="65">
        <f>M194-M217</f>
        <v>-21937</v>
      </c>
      <c r="N219" s="65">
        <f>N194-N217</f>
        <v>-22655</v>
      </c>
      <c r="O219" s="65">
        <f>O194-O217</f>
        <v>-18456</v>
      </c>
      <c r="P219" s="66">
        <f>AVERAGE(K219:O219)</f>
        <v>-18996.8</v>
      </c>
      <c r="Q219" s="22"/>
      <c r="R219" s="22"/>
      <c r="S219" s="22"/>
      <c r="T219" s="28" t="s">
        <v>38</v>
      </c>
      <c r="U219" s="28" t="s">
        <v>38</v>
      </c>
      <c r="V219" s="28" t="s">
        <v>38</v>
      </c>
      <c r="W219" s="28" t="s">
        <v>38</v>
      </c>
      <c r="X219" s="28" t="s">
        <v>38</v>
      </c>
      <c r="Y219" s="143" t="s">
        <v>38</v>
      </c>
      <c r="Z219" s="22"/>
      <c r="AC219" s="48" t="s">
        <v>105</v>
      </c>
      <c r="AD219" s="48" t="s">
        <v>105</v>
      </c>
      <c r="AE219" s="48" t="s">
        <v>105</v>
      </c>
      <c r="AF219" s="48" t="s">
        <v>105</v>
      </c>
      <c r="AG219" s="48" t="s">
        <v>105</v>
      </c>
      <c r="AH219" s="141" t="s">
        <v>105</v>
      </c>
      <c r="AI219" s="22"/>
      <c r="AJ219" s="22"/>
      <c r="AK219" s="22"/>
      <c r="AL219" s="28" t="s">
        <v>38</v>
      </c>
      <c r="AM219" s="28" t="s">
        <v>38</v>
      </c>
      <c r="AN219" s="28" t="s">
        <v>38</v>
      </c>
      <c r="AO219" s="28" t="s">
        <v>38</v>
      </c>
      <c r="AP219" s="28" t="s">
        <v>38</v>
      </c>
      <c r="AQ219" s="143" t="s">
        <v>38</v>
      </c>
      <c r="AR219" s="64"/>
      <c r="AS219" s="60"/>
      <c r="AT219" s="60"/>
      <c r="AU219" s="70" t="s">
        <v>105</v>
      </c>
      <c r="AV219" s="70" t="s">
        <v>105</v>
      </c>
      <c r="AW219" s="70" t="s">
        <v>105</v>
      </c>
      <c r="AX219" s="70" t="s">
        <v>105</v>
      </c>
      <c r="AY219" s="70" t="s">
        <v>105</v>
      </c>
      <c r="AZ219" s="141" t="s">
        <v>105</v>
      </c>
      <c r="BD219" s="143" t="s">
        <v>38</v>
      </c>
      <c r="BE219" s="143" t="s">
        <v>38</v>
      </c>
      <c r="BF219" s="143" t="s">
        <v>38</v>
      </c>
      <c r="BG219" s="143" t="s">
        <v>38</v>
      </c>
      <c r="BH219" s="143" t="s">
        <v>38</v>
      </c>
      <c r="BI219" s="143" t="s">
        <v>38</v>
      </c>
    </row>
    <row r="220" spans="8:61" ht="12">
      <c r="H220" s="64"/>
      <c r="I220" s="60"/>
      <c r="J220" s="60"/>
      <c r="K220" s="69"/>
      <c r="L220" s="69"/>
      <c r="M220" s="69"/>
      <c r="N220" s="69"/>
      <c r="O220" s="69"/>
      <c r="P220" s="67"/>
      <c r="Q220" s="22" t="s">
        <v>102</v>
      </c>
      <c r="S220" s="132">
        <f>T220-X220</f>
        <v>16985</v>
      </c>
      <c r="T220" s="42">
        <f>T188-T189</f>
        <v>156524</v>
      </c>
      <c r="U220" s="42">
        <f>U188-U189</f>
        <v>141430</v>
      </c>
      <c r="V220" s="42">
        <f>V188-V189</f>
        <v>142829</v>
      </c>
      <c r="W220" s="42">
        <f>W188-W189</f>
        <v>139398</v>
      </c>
      <c r="X220" s="42">
        <f>X188-X189</f>
        <v>139539</v>
      </c>
      <c r="Y220" s="53">
        <f>AVERAGE(T220:X220)</f>
        <v>143944</v>
      </c>
      <c r="Z220" s="22" t="s">
        <v>53</v>
      </c>
      <c r="AB220" s="44">
        <f aca="true" t="shared" si="85" ref="AB220:AB226">AC220-AG220</f>
        <v>43.38667677636987</v>
      </c>
      <c r="AC220" s="51">
        <f>(AC190/AC216)*100</f>
        <v>128.37653478854025</v>
      </c>
      <c r="AD220" s="51">
        <f>(AD190/AD216)*100</f>
        <v>109.77443609022556</v>
      </c>
      <c r="AE220" s="51">
        <f>(AE190/AE216)*100</f>
        <v>101.97486535008977</v>
      </c>
      <c r="AF220" s="51">
        <f>(AF190/AF216)*100</f>
        <v>91.796875</v>
      </c>
      <c r="AG220" s="51">
        <f>(AG190/AG216)*100</f>
        <v>84.98985801217039</v>
      </c>
      <c r="AH220" s="140">
        <f aca="true" t="shared" si="86" ref="AH220:AH226">AVERAGE(AC220:AG220)</f>
        <v>103.38251384820519</v>
      </c>
      <c r="AI220" s="22" t="s">
        <v>102</v>
      </c>
      <c r="AJ220" s="25"/>
      <c r="AK220" s="132">
        <f>AL220-AP220</f>
        <v>480</v>
      </c>
      <c r="AL220" s="42">
        <f>AL188-AL189</f>
        <v>1466</v>
      </c>
      <c r="AM220" s="42">
        <f>AM188-AM189</f>
        <v>1330</v>
      </c>
      <c r="AN220" s="42">
        <f>AN188-AN189</f>
        <v>1114</v>
      </c>
      <c r="AO220" s="42">
        <f>AO188-AO189</f>
        <v>1024</v>
      </c>
      <c r="AP220" s="42">
        <f>AP188-AP189</f>
        <v>986</v>
      </c>
      <c r="AQ220" s="53">
        <f>AVERAGE(AL220:AP220)</f>
        <v>1184</v>
      </c>
      <c r="AR220" s="64" t="s">
        <v>53</v>
      </c>
      <c r="AS220" s="60"/>
      <c r="AT220" s="132">
        <f aca="true" t="shared" si="87" ref="AT220:AT226">AU220-AY220</f>
        <v>-12.644810845731442</v>
      </c>
      <c r="AU220" s="72">
        <f>(AU190/AU216)*100</f>
        <v>87.29229607250755</v>
      </c>
      <c r="AV220" s="72">
        <f>(AV190/AV216)*100</f>
        <v>90.11148812409114</v>
      </c>
      <c r="AW220" s="72">
        <f>(AW190/AW216)*100</f>
        <v>93.1730451086357</v>
      </c>
      <c r="AX220" s="72">
        <f>(AX190/AX216)*100</f>
        <v>118.01726204747062</v>
      </c>
      <c r="AY220" s="72">
        <f>(AY190/AY216)*100</f>
        <v>99.937106918239</v>
      </c>
      <c r="AZ220" s="140">
        <f aca="true" t="shared" si="88" ref="AZ220:AZ226">AVERAGE(AU220:AY220)</f>
        <v>97.7062396541888</v>
      </c>
      <c r="BA220" s="22" t="s">
        <v>102</v>
      </c>
      <c r="BB220" s="25"/>
      <c r="BC220" s="132">
        <f>BD220-BH220</f>
        <v>-1076</v>
      </c>
      <c r="BD220" s="42">
        <f>BD188-BD189</f>
        <v>21184</v>
      </c>
      <c r="BE220" s="42">
        <f>BE188-BE189</f>
        <v>20630</v>
      </c>
      <c r="BF220" s="42">
        <f>BF188-BF189</f>
        <v>18134</v>
      </c>
      <c r="BG220" s="42">
        <f>BG188-BG189</f>
        <v>16684</v>
      </c>
      <c r="BH220" s="42">
        <f>BH188-BH189</f>
        <v>22260</v>
      </c>
      <c r="BI220" s="53">
        <f>AVERAGE(BD220:BH220)</f>
        <v>19778.4</v>
      </c>
    </row>
    <row r="221" spans="8:61" ht="12">
      <c r="H221" s="64"/>
      <c r="I221" s="60"/>
      <c r="J221" s="60"/>
      <c r="K221" s="70" t="s">
        <v>105</v>
      </c>
      <c r="L221" s="70" t="s">
        <v>105</v>
      </c>
      <c r="M221" s="70" t="s">
        <v>105</v>
      </c>
      <c r="N221" s="70" t="s">
        <v>105</v>
      </c>
      <c r="O221" s="70" t="s">
        <v>105</v>
      </c>
      <c r="P221" s="71" t="s">
        <v>105</v>
      </c>
      <c r="Q221" s="22" t="s">
        <v>104</v>
      </c>
      <c r="S221" s="44">
        <f>T221-X221</f>
        <v>0.08080298349742382</v>
      </c>
      <c r="T221" s="33">
        <f>T193/T220</f>
        <v>0.5631340880631724</v>
      </c>
      <c r="U221" s="33">
        <f>U193/U220</f>
        <v>0.4915364491267765</v>
      </c>
      <c r="V221" s="33">
        <f>V193/V220</f>
        <v>0.4603476884946334</v>
      </c>
      <c r="W221" s="33">
        <f>W193/W220</f>
        <v>0.48399546621902756</v>
      </c>
      <c r="X221" s="33">
        <f>X193/X220</f>
        <v>0.4823311045657486</v>
      </c>
      <c r="Y221" s="140">
        <f>AVERAGE(T221:X221)</f>
        <v>0.4962689592938717</v>
      </c>
      <c r="Z221" s="22" t="s">
        <v>54</v>
      </c>
      <c r="AB221" s="44">
        <f t="shared" si="85"/>
        <v>3.088461538461539</v>
      </c>
      <c r="AC221" s="51">
        <f>AC195/AC197</f>
        <v>12.05</v>
      </c>
      <c r="AD221" s="51">
        <f>AD195/AD197</f>
        <v>10.026315789473685</v>
      </c>
      <c r="AE221" s="51">
        <f>AE195/AE197</f>
        <v>9.055555555555555</v>
      </c>
      <c r="AF221" s="51">
        <f>AF195/AF197</f>
        <v>9.571428571428571</v>
      </c>
      <c r="AG221" s="51">
        <f>AG195/AG197</f>
        <v>8.961538461538462</v>
      </c>
      <c r="AH221" s="140">
        <f t="shared" si="86"/>
        <v>9.932967675599254</v>
      </c>
      <c r="AI221" s="22" t="s">
        <v>104</v>
      </c>
      <c r="AJ221" s="25"/>
      <c r="AK221" s="44">
        <f>AL221-AP221</f>
        <v>0.5509410049008079</v>
      </c>
      <c r="AL221" s="33">
        <f>AL193/AL220</f>
        <v>2.3724420190995907</v>
      </c>
      <c r="AM221" s="33">
        <f>AM193/AM220</f>
        <v>2.1593984962406014</v>
      </c>
      <c r="AN221" s="33">
        <f>AN193/AN220</f>
        <v>2.3016157989228008</v>
      </c>
      <c r="AO221" s="33">
        <f>AO193/AO220</f>
        <v>2.095703125</v>
      </c>
      <c r="AP221" s="33">
        <f>AP193/AP220</f>
        <v>1.8215010141987829</v>
      </c>
      <c r="AQ221" s="140">
        <f>AVERAGE(AL221:AP221)</f>
        <v>2.150132090692355</v>
      </c>
      <c r="AR221" s="64" t="s">
        <v>54</v>
      </c>
      <c r="AS221" s="60"/>
      <c r="AT221" s="132">
        <f t="shared" si="87"/>
        <v>-13.872163120567377</v>
      </c>
      <c r="AU221" s="72">
        <f>AU195/-AU196</f>
        <v>-18.463829787234044</v>
      </c>
      <c r="AV221" s="72">
        <f>AV195/-AV196</f>
        <v>-5.341538461538462</v>
      </c>
      <c r="AW221" s="72">
        <f>AW195/-AW196</f>
        <v>-7.280155642023346</v>
      </c>
      <c r="AX221" s="72">
        <f>AX195/-AX196</f>
        <v>-5.464831804281346</v>
      </c>
      <c r="AY221" s="72">
        <f>AY195/-AY196</f>
        <v>-4.591666666666667</v>
      </c>
      <c r="AZ221" s="140">
        <f t="shared" si="88"/>
        <v>-8.228404472348775</v>
      </c>
      <c r="BA221" s="22" t="s">
        <v>104</v>
      </c>
      <c r="BB221" s="25"/>
      <c r="BC221" s="44">
        <f>BD221-BH221</f>
        <v>-0.3282338227430287</v>
      </c>
      <c r="BD221" s="33">
        <f>BD193/BD220</f>
        <v>0.6854229607250756</v>
      </c>
      <c r="BE221" s="33">
        <f>BE193/BE220</f>
        <v>0.8760058167716918</v>
      </c>
      <c r="BF221" s="33">
        <f>BF193/BF220</f>
        <v>0.9805889489357009</v>
      </c>
      <c r="BG221" s="33">
        <f>BG193/BG220</f>
        <v>1.11256293454807</v>
      </c>
      <c r="BH221" s="33">
        <f>BH193/BH220</f>
        <v>1.0136567834681043</v>
      </c>
      <c r="BI221" s="140">
        <f>AVERAGE(BD221:BH221)</f>
        <v>0.9336474888897286</v>
      </c>
    </row>
    <row r="222" spans="8:61" ht="12">
      <c r="H222" s="64" t="s">
        <v>53</v>
      </c>
      <c r="I222" s="60"/>
      <c r="J222" s="60"/>
      <c r="K222" s="72">
        <f>(K191/K217)*100</f>
        <v>36.75855801272342</v>
      </c>
      <c r="L222" s="72">
        <f>(L191/L217)*100</f>
        <v>35.23086654016445</v>
      </c>
      <c r="M222" s="72">
        <f>(M191/M217)*100</f>
        <v>29.611409486843886</v>
      </c>
      <c r="N222" s="72">
        <f>(N191/N217)*100</f>
        <v>34.3169877408056</v>
      </c>
      <c r="O222" s="72">
        <f>(O191/O217)*100</f>
        <v>29.737391025298177</v>
      </c>
      <c r="P222" s="67">
        <f aca="true" t="shared" si="89" ref="P222:P228">AVERAGE(K222:O222)</f>
        <v>33.1310425611671</v>
      </c>
      <c r="Q222" s="22"/>
      <c r="T222" s="33"/>
      <c r="U222" s="33"/>
      <c r="V222" s="33"/>
      <c r="W222" s="33"/>
      <c r="X222" s="33"/>
      <c r="Y222" s="140"/>
      <c r="Z222" s="22" t="s">
        <v>97</v>
      </c>
      <c r="AB222" s="44">
        <f t="shared" si="85"/>
        <v>27.80282944011148</v>
      </c>
      <c r="AC222" s="51">
        <f>(AC198/AC191)*100</f>
        <v>42.944785276073624</v>
      </c>
      <c r="AD222" s="51">
        <f>(AD198/AD191)*100</f>
        <v>26.884422110552762</v>
      </c>
      <c r="AE222" s="51">
        <f>(AE198/AE191)*100</f>
        <v>28.055555555555557</v>
      </c>
      <c r="AF222" s="51">
        <f>(AF198/AF191)*100</f>
        <v>17.251461988304094</v>
      </c>
      <c r="AG222" s="51">
        <f>(AG198/AG191)*100</f>
        <v>15.141955835962145</v>
      </c>
      <c r="AH222" s="140">
        <f t="shared" si="86"/>
        <v>26.055636153289633</v>
      </c>
      <c r="AI222" s="22"/>
      <c r="AJ222" s="25"/>
      <c r="AK222" s="25"/>
      <c r="AL222" s="33"/>
      <c r="AM222" s="33"/>
      <c r="AN222" s="33"/>
      <c r="AO222" s="33"/>
      <c r="AP222" s="33"/>
      <c r="AQ222" s="140"/>
      <c r="AR222" s="64" t="s">
        <v>97</v>
      </c>
      <c r="AS222" s="60"/>
      <c r="AT222" s="132">
        <f t="shared" si="87"/>
        <v>13.582942328810045</v>
      </c>
      <c r="AU222" s="72">
        <f>(AU198/AU191)*100</f>
        <v>41.97820978423414</v>
      </c>
      <c r="AV222" s="72">
        <f>(AV198/AV191)*100</f>
        <v>31.106787721573713</v>
      </c>
      <c r="AW222" s="72">
        <f>(AW198/AW191)*100</f>
        <v>40.140845070422536</v>
      </c>
      <c r="AX222" s="72">
        <f>(AX198/AX191)*100</f>
        <v>5.033916458407712</v>
      </c>
      <c r="AY222" s="72">
        <f>(AY198/AY191)*100</f>
        <v>28.395267455424094</v>
      </c>
      <c r="AZ222" s="140">
        <f t="shared" si="88"/>
        <v>29.33100529801244</v>
      </c>
      <c r="BA222" s="22"/>
      <c r="BB222" s="25"/>
      <c r="BC222" s="25"/>
      <c r="BD222" s="33"/>
      <c r="BE222" s="33"/>
      <c r="BF222" s="33"/>
      <c r="BG222" s="33"/>
      <c r="BH222" s="33"/>
      <c r="BI222" s="140"/>
    </row>
    <row r="223" spans="8:61" ht="12">
      <c r="H223" s="64" t="s">
        <v>54</v>
      </c>
      <c r="I223" s="60"/>
      <c r="J223" s="60"/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67">
        <f t="shared" si="89"/>
        <v>0</v>
      </c>
      <c r="Q223" s="22"/>
      <c r="T223" s="48" t="s">
        <v>105</v>
      </c>
      <c r="U223" s="48" t="s">
        <v>105</v>
      </c>
      <c r="V223" s="48" t="s">
        <v>105</v>
      </c>
      <c r="W223" s="48" t="s">
        <v>105</v>
      </c>
      <c r="X223" s="48" t="s">
        <v>105</v>
      </c>
      <c r="Y223" s="141" t="s">
        <v>105</v>
      </c>
      <c r="Z223" s="22" t="s">
        <v>86</v>
      </c>
      <c r="AB223" s="44">
        <f t="shared" si="85"/>
        <v>1.770530896721482</v>
      </c>
      <c r="AC223" s="51">
        <f>(AC195/AC193)*100</f>
        <v>27.717078780908565</v>
      </c>
      <c r="AD223" s="51">
        <f>(AD195/AD193)*100</f>
        <v>26.532033426183844</v>
      </c>
      <c r="AE223" s="51">
        <f>(AE195/AE193)*100</f>
        <v>25.429017160686428</v>
      </c>
      <c r="AF223" s="51">
        <f>(AF195/AF193)*100</f>
        <v>24.976700838769805</v>
      </c>
      <c r="AG223" s="51">
        <f>(AG195/AG193)*100</f>
        <v>25.946547884187083</v>
      </c>
      <c r="AH223" s="140">
        <f t="shared" si="86"/>
        <v>26.120275618147144</v>
      </c>
      <c r="AI223" s="22"/>
      <c r="AJ223" s="25"/>
      <c r="AK223" s="25"/>
      <c r="AL223" s="48" t="s">
        <v>105</v>
      </c>
      <c r="AM223" s="48" t="s">
        <v>105</v>
      </c>
      <c r="AN223" s="48" t="s">
        <v>105</v>
      </c>
      <c r="AO223" s="48" t="s">
        <v>105</v>
      </c>
      <c r="AP223" s="48" t="s">
        <v>105</v>
      </c>
      <c r="AQ223" s="141" t="s">
        <v>105</v>
      </c>
      <c r="AR223" s="64" t="s">
        <v>86</v>
      </c>
      <c r="AS223" s="60"/>
      <c r="AT223" s="132">
        <f t="shared" si="87"/>
        <v>45.11418271285155</v>
      </c>
      <c r="AU223" s="72">
        <f>(AU195/AU193)*100</f>
        <v>59.76584022038568</v>
      </c>
      <c r="AV223" s="72">
        <f>(AV195/AV193)*100</f>
        <v>19.21204072598495</v>
      </c>
      <c r="AW223" s="72">
        <f>(AW195/AW193)*100</f>
        <v>21.04375210887414</v>
      </c>
      <c r="AX223" s="72">
        <f>(AX195/AX193)*100</f>
        <v>19.254390690658337</v>
      </c>
      <c r="AY223" s="72">
        <f>(AY195/AY193)*100</f>
        <v>14.651657507534125</v>
      </c>
      <c r="AZ223" s="140">
        <f t="shared" si="88"/>
        <v>26.78553625068745</v>
      </c>
      <c r="BD223" s="149"/>
      <c r="BE223" s="149"/>
      <c r="BF223" s="149"/>
      <c r="BG223" s="149"/>
      <c r="BH223" s="149"/>
      <c r="BI223" s="140"/>
    </row>
    <row r="224" spans="8:61" ht="12">
      <c r="H224" s="64" t="s">
        <v>97</v>
      </c>
      <c r="I224" s="60"/>
      <c r="J224" s="60"/>
      <c r="K224" s="72">
        <f>(K199/K192)*100</f>
        <v>35.26781467034535</v>
      </c>
      <c r="L224" s="72">
        <f>(L199/L192)*100</f>
        <v>35.39672006825291</v>
      </c>
      <c r="M224" s="72">
        <f>(M199/M192)*100</f>
        <v>21.504369538077402</v>
      </c>
      <c r="N224" s="72">
        <f>(N199/N192)*100</f>
        <v>19.49357175487829</v>
      </c>
      <c r="O224" s="72">
        <f>(O199/O192)*100</f>
        <v>19.26989394704567</v>
      </c>
      <c r="P224" s="67">
        <f t="shared" si="89"/>
        <v>26.186473995719922</v>
      </c>
      <c r="Q224" s="22" t="s">
        <v>53</v>
      </c>
      <c r="S224" s="44">
        <f aca="true" t="shared" si="90" ref="S224:S230">T224-X224</f>
        <v>-7.026071304895808</v>
      </c>
      <c r="T224" s="51">
        <f>(T190/T220)*100</f>
        <v>89.6150111165061</v>
      </c>
      <c r="U224" s="51">
        <f>(U190/U220)*100</f>
        <v>90.82231492611186</v>
      </c>
      <c r="V224" s="51">
        <f>(V190/V220)*100</f>
        <v>89.89630957298587</v>
      </c>
      <c r="W224" s="51">
        <f>(W190/W220)*100</f>
        <v>95.05301367307996</v>
      </c>
      <c r="X224" s="51">
        <f>(X190/X220)*100</f>
        <v>96.6410824214019</v>
      </c>
      <c r="Y224" s="140">
        <f aca="true" t="shared" si="91" ref="Y224:Y230">AVERAGE(T224:X224)</f>
        <v>92.40554634201713</v>
      </c>
      <c r="Z224" s="22" t="s">
        <v>23</v>
      </c>
      <c r="AB224" s="44">
        <f t="shared" si="85"/>
        <v>-0.019350811485642994</v>
      </c>
      <c r="AC224" s="51">
        <f>AC187/AC189</f>
        <v>0.7584269662921348</v>
      </c>
      <c r="AD224" s="51">
        <f>AD187/AD189</f>
        <v>0.7445887445887446</v>
      </c>
      <c r="AE224" s="51">
        <f>AE187/AE189</f>
        <v>0.6989247311827957</v>
      </c>
      <c r="AF224" s="51">
        <f>AF187/AF189</f>
        <v>0.83</v>
      </c>
      <c r="AG224" s="51">
        <f>AG187/AG189</f>
        <v>0.7777777777777778</v>
      </c>
      <c r="AH224" s="140">
        <f t="shared" si="86"/>
        <v>0.7619436439682905</v>
      </c>
      <c r="AI224" s="22" t="s">
        <v>53</v>
      </c>
      <c r="AJ224" s="25"/>
      <c r="AK224" s="44">
        <f aca="true" t="shared" si="92" ref="AK224:AK230">AL224-AP224</f>
        <v>43.38667677636987</v>
      </c>
      <c r="AL224" s="51">
        <f>(AL190/AL220)*100</f>
        <v>128.37653478854025</v>
      </c>
      <c r="AM224" s="51">
        <f>(AM190/AM220)*100</f>
        <v>109.77443609022556</v>
      </c>
      <c r="AN224" s="51">
        <f>(AN190/AN220)*100</f>
        <v>101.97486535008977</v>
      </c>
      <c r="AO224" s="51">
        <f>(AO190/AO220)*100</f>
        <v>91.796875</v>
      </c>
      <c r="AP224" s="51">
        <f>(AP190/AP220)*100</f>
        <v>84.98985801217039</v>
      </c>
      <c r="AQ224" s="140">
        <f aca="true" t="shared" si="93" ref="AQ224:AQ230">AVERAGE(AL224:AP224)</f>
        <v>103.38251384820519</v>
      </c>
      <c r="AR224" s="64" t="s">
        <v>23</v>
      </c>
      <c r="AS224" s="60"/>
      <c r="AT224" s="132">
        <f t="shared" si="87"/>
        <v>0.4547208671910139</v>
      </c>
      <c r="AU224" s="72">
        <f>AU187/AU189</f>
        <v>1.450374812593703</v>
      </c>
      <c r="AV224" s="72">
        <f>AV187/AV189</f>
        <v>1.312534664448142</v>
      </c>
      <c r="AW224" s="72">
        <f>AW187/AW189</f>
        <v>1.0087597053553654</v>
      </c>
      <c r="AX224" s="72">
        <f>AX187/AX189</f>
        <v>0.85056967572305</v>
      </c>
      <c r="AY224" s="72">
        <f>AY187/AY189</f>
        <v>0.9956539454026891</v>
      </c>
      <c r="AZ224" s="140">
        <f t="shared" si="88"/>
        <v>1.12357856070459</v>
      </c>
      <c r="BA224" s="22" t="s">
        <v>53</v>
      </c>
      <c r="BB224" s="25"/>
      <c r="BC224" s="44">
        <f aca="true" t="shared" si="94" ref="BC224:BC230">BD224-BH224</f>
        <v>-12.644810845731442</v>
      </c>
      <c r="BD224" s="51">
        <f>(BD190/BD220)*100</f>
        <v>87.29229607250755</v>
      </c>
      <c r="BE224" s="51">
        <f>(BE190/BE220)*100</f>
        <v>90.11148812409114</v>
      </c>
      <c r="BF224" s="51">
        <f>(BF190/BF220)*100</f>
        <v>93.1730451086357</v>
      </c>
      <c r="BG224" s="51">
        <f>(BG190/BG220)*100</f>
        <v>118.01726204747062</v>
      </c>
      <c r="BH224" s="51">
        <f>(BH190/BH220)*100</f>
        <v>99.937106918239</v>
      </c>
      <c r="BI224" s="140">
        <f aca="true" t="shared" si="95" ref="BI224:BI230">AVERAGE(BD224:BH224)</f>
        <v>97.7062396541888</v>
      </c>
    </row>
    <row r="225" spans="8:61" ht="12">
      <c r="H225" s="64" t="s">
        <v>86</v>
      </c>
      <c r="I225" s="60"/>
      <c r="J225" s="60"/>
      <c r="K225" s="72">
        <f>(K196/K194)*100</f>
        <v>-181.6326530612245</v>
      </c>
      <c r="L225" s="72">
        <f>(L196/L194)*100</f>
        <v>-271.0382513661202</v>
      </c>
      <c r="M225" s="72">
        <f>(M196/M194)*100</f>
        <v>-226.36363636363637</v>
      </c>
      <c r="N225" s="72">
        <f>(N196/N194)*100</f>
        <v>-225.94594594594594</v>
      </c>
      <c r="O225" s="72">
        <f>(O196/O194)*100</f>
        <v>-177.59336099585062</v>
      </c>
      <c r="P225" s="67">
        <f t="shared" si="89"/>
        <v>-216.51476954655556</v>
      </c>
      <c r="Q225" s="22" t="s">
        <v>54</v>
      </c>
      <c r="S225" s="44">
        <f t="shared" si="90"/>
        <v>0.8994506533267508</v>
      </c>
      <c r="T225" s="51">
        <f>T195/T196</f>
        <v>5.693060876968923</v>
      </c>
      <c r="U225" s="51">
        <f>U195/U196</f>
        <v>5.909347111319868</v>
      </c>
      <c r="V225" s="51">
        <f>V195/V196</f>
        <v>4.653253424657534</v>
      </c>
      <c r="W225" s="51">
        <f>W195/W196</f>
        <v>2.648194494100822</v>
      </c>
      <c r="X225" s="51">
        <f>X195/X196</f>
        <v>4.7936102236421725</v>
      </c>
      <c r="Y225" s="140">
        <f t="shared" si="91"/>
        <v>4.739493226137864</v>
      </c>
      <c r="Z225" s="22" t="s">
        <v>49</v>
      </c>
      <c r="AB225" s="44">
        <f t="shared" si="85"/>
        <v>-29.657496907593075</v>
      </c>
      <c r="AC225" s="51">
        <f>((AC198-AC196-AC197)/AC216)*100</f>
        <v>10.504774897680765</v>
      </c>
      <c r="AD225" s="51">
        <f>((AD198-AD196-AD197)/AD216)*100</f>
        <v>8.270676691729323</v>
      </c>
      <c r="AE225" s="51">
        <f>((AE195-AE196-AE197)/AE216)*100</f>
        <v>49.91023339317774</v>
      </c>
      <c r="AF225" s="51">
        <f>((AF195-AF196-AF197)/AF216)*100</f>
        <v>44.7265625</v>
      </c>
      <c r="AG225" s="51">
        <f>((AG195-AG196-AG197)/AG216)*100</f>
        <v>40.16227180527384</v>
      </c>
      <c r="AH225" s="140">
        <f t="shared" si="86"/>
        <v>30.714903857572335</v>
      </c>
      <c r="AI225" s="22" t="s">
        <v>54</v>
      </c>
      <c r="AJ225" s="25"/>
      <c r="AK225" s="44">
        <f t="shared" si="92"/>
        <v>3.088461538461539</v>
      </c>
      <c r="AL225" s="51">
        <f>AL195/AL197</f>
        <v>12.05</v>
      </c>
      <c r="AM225" s="51">
        <f>AM195/AM197</f>
        <v>10.026315789473685</v>
      </c>
      <c r="AN225" s="51">
        <f>AN195/AN197</f>
        <v>9.055555555555555</v>
      </c>
      <c r="AO225" s="51">
        <f>AO195/AO197</f>
        <v>9.571428571428571</v>
      </c>
      <c r="AP225" s="51">
        <f>AP195/AP197</f>
        <v>8.961538461538462</v>
      </c>
      <c r="AQ225" s="140">
        <f t="shared" si="93"/>
        <v>9.932967675599254</v>
      </c>
      <c r="AR225" s="64" t="s">
        <v>49</v>
      </c>
      <c r="AS225" s="60"/>
      <c r="AT225" s="132">
        <f t="shared" si="87"/>
        <v>3.7997332405002133</v>
      </c>
      <c r="AU225" s="72">
        <f>((AU198-AU196-AU197)/AU216)*100</f>
        <v>12.62273413897281</v>
      </c>
      <c r="AV225" s="72">
        <f>((AV198-AV196-AV197)/AV216)*100</f>
        <v>7.6975278720310225</v>
      </c>
      <c r="AW225" s="72">
        <f>((AW195-AW196-AW197)/AW216)*100</f>
        <v>14.514172273078197</v>
      </c>
      <c r="AX225" s="72">
        <f>((AX195-AX196-AX197)/AX216)*100</f>
        <v>16.24310716854471</v>
      </c>
      <c r="AY225" s="72">
        <f>((AY195-AY196-AY197)/AY216)*100</f>
        <v>8.823000898472596</v>
      </c>
      <c r="AZ225" s="140">
        <f t="shared" si="88"/>
        <v>11.980108470219866</v>
      </c>
      <c r="BA225" s="22" t="s">
        <v>54</v>
      </c>
      <c r="BB225" s="25"/>
      <c r="BC225" s="44">
        <f t="shared" si="94"/>
        <v>5.725599928000458</v>
      </c>
      <c r="BD225" s="51">
        <f>BD195/BD197</f>
        <v>11.040712468193384</v>
      </c>
      <c r="BE225" s="51">
        <f>BE195/BE197</f>
        <v>5.425</v>
      </c>
      <c r="BF225" s="51">
        <f>BF195/BF197</f>
        <v>6.278523489932886</v>
      </c>
      <c r="BG225" s="51">
        <f>BG195/BG197</f>
        <v>17.01904761904762</v>
      </c>
      <c r="BH225" s="51">
        <f>BH195/BH197</f>
        <v>5.315112540192926</v>
      </c>
      <c r="BI225" s="140">
        <f t="shared" si="95"/>
        <v>9.015679223473365</v>
      </c>
    </row>
    <row r="226" spans="8:61" ht="12">
      <c r="H226" s="64" t="s">
        <v>23</v>
      </c>
      <c r="I226" s="60"/>
      <c r="J226" s="60"/>
      <c r="K226" s="72">
        <f>K188/K190</f>
        <v>151.91780821917808</v>
      </c>
      <c r="L226" s="72">
        <f>L188/L190</f>
        <v>35.70550161812298</v>
      </c>
      <c r="M226" s="72">
        <f>M188/M190</f>
        <v>38.301886792452834</v>
      </c>
      <c r="N226" s="72">
        <f>N188/N190</f>
        <v>51.29283489096573</v>
      </c>
      <c r="O226" s="72">
        <f>O188/O190</f>
        <v>20.168508287292816</v>
      </c>
      <c r="P226" s="67">
        <f t="shared" si="89"/>
        <v>59.47730796160248</v>
      </c>
      <c r="Q226" s="22" t="s">
        <v>97</v>
      </c>
      <c r="S226" s="44">
        <f t="shared" si="90"/>
        <v>0.2619735311085236</v>
      </c>
      <c r="T226" s="51">
        <f>(T198/T191)*100</f>
        <v>12.768105490882867</v>
      </c>
      <c r="U226" s="51">
        <f>(U198/U191)*100</f>
        <v>18.641633064516128</v>
      </c>
      <c r="V226" s="51">
        <f>(V198/V191)*100</f>
        <v>20.849307774227903</v>
      </c>
      <c r="W226" s="51">
        <f>(W198/W191)*100</f>
        <v>9.19440626307297</v>
      </c>
      <c r="X226" s="51">
        <f>(X198/X191)*100</f>
        <v>12.506131959774343</v>
      </c>
      <c r="Y226" s="140">
        <f t="shared" si="91"/>
        <v>14.791916910494843</v>
      </c>
      <c r="Z226" s="22" t="s">
        <v>50</v>
      </c>
      <c r="AB226" s="44">
        <f t="shared" si="85"/>
        <v>-17.62116568542195</v>
      </c>
      <c r="AC226" s="51">
        <f>((AC198-AC196-AC197)/AC193)*100</f>
        <v>4.427832087406555</v>
      </c>
      <c r="AD226" s="51">
        <f>((AD198-AD196-AD197)/AD193)*100</f>
        <v>3.83008356545961</v>
      </c>
      <c r="AE226" s="51">
        <f>((AE195-AE196-AE197)/AE193)*100</f>
        <v>21.684867394695786</v>
      </c>
      <c r="AF226" s="51">
        <f>((AF195-AF196-AF197)/AF193)*100</f>
        <v>21.342031686859272</v>
      </c>
      <c r="AG226" s="51">
        <f>((AG195-AG196-AG197)/AG193)*100</f>
        <v>22.048997772828507</v>
      </c>
      <c r="AH226" s="140">
        <f t="shared" si="86"/>
        <v>14.666762501449947</v>
      </c>
      <c r="AI226" s="22" t="s">
        <v>97</v>
      </c>
      <c r="AJ226" s="25"/>
      <c r="AK226" s="44">
        <f t="shared" si="92"/>
        <v>27.80282944011148</v>
      </c>
      <c r="AL226" s="51">
        <f>(AL198/AL191)*100</f>
        <v>42.944785276073624</v>
      </c>
      <c r="AM226" s="51">
        <f>(AM198/AM191)*100</f>
        <v>26.884422110552762</v>
      </c>
      <c r="AN226" s="51">
        <f>(AN198/AN191)*100</f>
        <v>28.055555555555557</v>
      </c>
      <c r="AO226" s="51">
        <f>(AO198/AO191)*100</f>
        <v>17.251461988304094</v>
      </c>
      <c r="AP226" s="51">
        <f>(AP198/AP191)*100</f>
        <v>15.141955835962145</v>
      </c>
      <c r="AQ226" s="140">
        <f t="shared" si="93"/>
        <v>26.055636153289633</v>
      </c>
      <c r="AR226" s="64" t="s">
        <v>50</v>
      </c>
      <c r="AS226" s="60"/>
      <c r="AT226" s="132">
        <f t="shared" si="87"/>
        <v>9.711847488112173</v>
      </c>
      <c r="AU226" s="72">
        <f>((AU198-AU196-AU197)/AU193)*100</f>
        <v>18.415977961432507</v>
      </c>
      <c r="AV226" s="72">
        <f>((AV198-AV196-AV197)/AV193)*100</f>
        <v>8.787073926516157</v>
      </c>
      <c r="AW226" s="72">
        <f>((AW195-AW196-AW197)/AW193)*100</f>
        <v>14.801484647396244</v>
      </c>
      <c r="AX226" s="72">
        <f>((AX195-AX196-AX197)/AX193)*100</f>
        <v>14.599719857773946</v>
      </c>
      <c r="AY226" s="72">
        <f>((AY195-AY196-AY197)/AY193)*100</f>
        <v>8.704130473320333</v>
      </c>
      <c r="AZ226" s="140">
        <f t="shared" si="88"/>
        <v>13.06167737328784</v>
      </c>
      <c r="BA226" s="22" t="s">
        <v>97</v>
      </c>
      <c r="BB226" s="25"/>
      <c r="BC226" s="44">
        <f t="shared" si="94"/>
        <v>13.582942328810045</v>
      </c>
      <c r="BD226" s="51">
        <f>(BD198/BD191)*100</f>
        <v>41.97820978423414</v>
      </c>
      <c r="BE226" s="51">
        <f>(BE198/BE191)*100</f>
        <v>31.106787721573713</v>
      </c>
      <c r="BF226" s="51">
        <f>(BF198/BF191)*100</f>
        <v>40.140845070422536</v>
      </c>
      <c r="BG226" s="51">
        <f>(BG198/BG191)*100</f>
        <v>5.033916458407712</v>
      </c>
      <c r="BH226" s="51">
        <f>(BH198/BH191)*100</f>
        <v>28.395267455424094</v>
      </c>
      <c r="BI226" s="140">
        <f t="shared" si="95"/>
        <v>29.33100529801244</v>
      </c>
    </row>
    <row r="227" spans="8:61" ht="12">
      <c r="H227" s="64" t="s">
        <v>49</v>
      </c>
      <c r="I227" s="60"/>
      <c r="J227" s="60"/>
      <c r="K227" s="72">
        <f>((K199-K197-K198)/K217)*100</f>
        <v>23.592850651317782</v>
      </c>
      <c r="L227" s="72">
        <f>((L199-L197-L198)/L217)*100</f>
        <v>24.85135989879823</v>
      </c>
      <c r="M227" s="72">
        <f>((M196-M197-M198)/M217)*100</f>
        <v>-1.3223811887890962</v>
      </c>
      <c r="N227" s="72">
        <f>((N196-N197-N198)/N217)*100</f>
        <v>-1.1339754816112084</v>
      </c>
      <c r="O227" s="72">
        <f>((O196-O197-O198)/O217)*100</f>
        <v>-1.1713109054928597</v>
      </c>
      <c r="P227" s="67">
        <f t="shared" si="89"/>
        <v>8.96330859484457</v>
      </c>
      <c r="Q227" s="22" t="s">
        <v>86</v>
      </c>
      <c r="S227" s="44">
        <f t="shared" si="90"/>
        <v>-7.121115681012737</v>
      </c>
      <c r="T227" s="51">
        <f>(T195/T193)*100</f>
        <v>15.171764385550917</v>
      </c>
      <c r="U227" s="51">
        <f>(U195/U193)*100</f>
        <v>18.097471158548863</v>
      </c>
      <c r="V227" s="51">
        <f>(V195/V193)*100</f>
        <v>16.532067953339112</v>
      </c>
      <c r="W227" s="51">
        <f>(W195/W193)*100</f>
        <v>10.978537973557835</v>
      </c>
      <c r="X227" s="51">
        <f>(X195/X193)*100</f>
        <v>22.292880066563654</v>
      </c>
      <c r="Y227" s="140">
        <f t="shared" si="91"/>
        <v>16.614544307512077</v>
      </c>
      <c r="AH227" s="137"/>
      <c r="AI227" s="22" t="s">
        <v>86</v>
      </c>
      <c r="AJ227" s="25"/>
      <c r="AK227" s="44">
        <f t="shared" si="92"/>
        <v>1.770530896721482</v>
      </c>
      <c r="AL227" s="51">
        <f>(AL195/AL193)*100</f>
        <v>27.717078780908565</v>
      </c>
      <c r="AM227" s="51">
        <f>(AM195/AM193)*100</f>
        <v>26.532033426183844</v>
      </c>
      <c r="AN227" s="51">
        <f>(AN195/AN193)*100</f>
        <v>25.429017160686428</v>
      </c>
      <c r="AO227" s="51">
        <f>(AO195/AO193)*100</f>
        <v>24.976700838769805</v>
      </c>
      <c r="AP227" s="51">
        <f>(AP195/AP193)*100</f>
        <v>25.946547884187083</v>
      </c>
      <c r="AQ227" s="140">
        <f t="shared" si="93"/>
        <v>26.120275618147144</v>
      </c>
      <c r="AR227" s="60"/>
      <c r="AS227" s="60"/>
      <c r="AT227" s="60"/>
      <c r="AU227" s="60"/>
      <c r="AV227" s="60"/>
      <c r="AW227" s="60"/>
      <c r="AX227" s="60"/>
      <c r="AY227" s="60"/>
      <c r="AZ227" s="137"/>
      <c r="BA227" s="22" t="s">
        <v>86</v>
      </c>
      <c r="BB227" s="25"/>
      <c r="BC227" s="44">
        <f t="shared" si="94"/>
        <v>45.11418271285155</v>
      </c>
      <c r="BD227" s="51">
        <f>(BD195/BD193)*100</f>
        <v>59.76584022038568</v>
      </c>
      <c r="BE227" s="51">
        <f>(BE195/BE193)*100</f>
        <v>19.21204072598495</v>
      </c>
      <c r="BF227" s="51">
        <f>(BF195/BF193)*100</f>
        <v>21.04375210887414</v>
      </c>
      <c r="BG227" s="51">
        <f>(BG195/BG193)*100</f>
        <v>19.254390690658337</v>
      </c>
      <c r="BH227" s="51">
        <f>(BH195/BH193)*100</f>
        <v>14.651657507534125</v>
      </c>
      <c r="BI227" s="140">
        <f t="shared" si="95"/>
        <v>26.78553625068745</v>
      </c>
    </row>
    <row r="228" spans="8:61" ht="12">
      <c r="H228" s="64" t="s">
        <v>50</v>
      </c>
      <c r="I228" s="60"/>
      <c r="J228" s="60"/>
      <c r="K228" s="72">
        <f>((K199-K197-K198)/K194)*100</f>
        <v>1986.7346938775513</v>
      </c>
      <c r="L228" s="72">
        <f>((L199-L197-L198)/L194)*100</f>
        <v>2146.9945355191257</v>
      </c>
      <c r="M228" s="72">
        <f>((M196-M197-M198)/M194)*100</f>
        <v>-133.1818181818182</v>
      </c>
      <c r="N228" s="72">
        <f>((N196-N197-N198)/N194)*100</f>
        <v>-140</v>
      </c>
      <c r="O228" s="72">
        <f>((O196-O197-O198)/O194)*100</f>
        <v>-90.87136929460581</v>
      </c>
      <c r="P228" s="67">
        <f t="shared" si="89"/>
        <v>753.9352083840506</v>
      </c>
      <c r="Q228" s="22" t="s">
        <v>23</v>
      </c>
      <c r="S228" s="44">
        <f t="shared" si="90"/>
        <v>-0.09283834788541301</v>
      </c>
      <c r="T228" s="51">
        <f>T187/T189</f>
        <v>0.6982032218091697</v>
      </c>
      <c r="U228" s="51">
        <f>U187/U189</f>
        <v>0.7235955056179775</v>
      </c>
      <c r="V228" s="51">
        <f>V187/V189</f>
        <v>0.8421894591205845</v>
      </c>
      <c r="W228" s="51">
        <f>W187/W189</f>
        <v>0.6884832517877305</v>
      </c>
      <c r="X228" s="51">
        <f>X187/X189</f>
        <v>0.7910415696945827</v>
      </c>
      <c r="Y228" s="140">
        <f t="shared" si="91"/>
        <v>0.748702601606009</v>
      </c>
      <c r="AH228" s="137"/>
      <c r="AI228" s="22" t="s">
        <v>23</v>
      </c>
      <c r="AJ228" s="25"/>
      <c r="AK228" s="44">
        <f t="shared" si="92"/>
        <v>-0.019350811485642994</v>
      </c>
      <c r="AL228" s="51">
        <f>AL187/AL189</f>
        <v>0.7584269662921348</v>
      </c>
      <c r="AM228" s="51">
        <f>AM187/AM189</f>
        <v>0.7445887445887446</v>
      </c>
      <c r="AN228" s="51">
        <f>AN187/AN189</f>
        <v>0.6989247311827957</v>
      </c>
      <c r="AO228" s="51">
        <f>AO187/AO189</f>
        <v>0.83</v>
      </c>
      <c r="AP228" s="51">
        <f>AP187/AP189</f>
        <v>0.7777777777777778</v>
      </c>
      <c r="AQ228" s="140">
        <f t="shared" si="93"/>
        <v>0.7619436439682905</v>
      </c>
      <c r="AR228" s="60"/>
      <c r="AS228" s="60"/>
      <c r="AT228" s="60"/>
      <c r="AU228" s="60"/>
      <c r="AV228" s="60"/>
      <c r="AW228" s="60"/>
      <c r="AX228" s="60"/>
      <c r="AY228" s="60"/>
      <c r="AZ228" s="137"/>
      <c r="BA228" s="22" t="s">
        <v>23</v>
      </c>
      <c r="BB228" s="25"/>
      <c r="BC228" s="44">
        <f t="shared" si="94"/>
        <v>0.4547208671910139</v>
      </c>
      <c r="BD228" s="51">
        <f>BD187/BD189</f>
        <v>1.450374812593703</v>
      </c>
      <c r="BE228" s="51">
        <f>BE187/BE189</f>
        <v>1.312534664448142</v>
      </c>
      <c r="BF228" s="51">
        <f>BF187/BF189</f>
        <v>1.0087597053553654</v>
      </c>
      <c r="BG228" s="51">
        <f>BG187/BG189</f>
        <v>0.85056967572305</v>
      </c>
      <c r="BH228" s="51">
        <f>BH187/BH189</f>
        <v>0.9956539454026891</v>
      </c>
      <c r="BI228" s="140">
        <f t="shared" si="95"/>
        <v>1.12357856070459</v>
      </c>
    </row>
    <row r="229" spans="8:61" ht="12">
      <c r="H229" s="60"/>
      <c r="I229" s="60"/>
      <c r="J229" s="60"/>
      <c r="K229" s="60"/>
      <c r="L229" s="60"/>
      <c r="M229" s="60"/>
      <c r="N229" s="60"/>
      <c r="O229" s="60"/>
      <c r="P229" s="61"/>
      <c r="Q229" s="22" t="s">
        <v>49</v>
      </c>
      <c r="S229" s="44">
        <f t="shared" si="90"/>
        <v>0.857449293594378</v>
      </c>
      <c r="T229" s="51">
        <f>((T198+T196+T197)/T220)*100</f>
        <v>7.1682297922363345</v>
      </c>
      <c r="U229" s="51">
        <f>((U198+U196+U197)/U220)*100</f>
        <v>8.44728841122817</v>
      </c>
      <c r="V229" s="51">
        <f>((V198+V196+V197)/V220)*100</f>
        <v>8.573188918216887</v>
      </c>
      <c r="W229" s="51">
        <f>((W198+W196+W197)/W220)*100</f>
        <v>5.084004074663913</v>
      </c>
      <c r="X229" s="51">
        <f>((X198+X196+X197)/X220)*100</f>
        <v>6.3107804986419564</v>
      </c>
      <c r="Y229" s="140">
        <f t="shared" si="91"/>
        <v>7.116698338997452</v>
      </c>
      <c r="AH229" s="137"/>
      <c r="AI229" s="22" t="s">
        <v>49</v>
      </c>
      <c r="AJ229" s="25"/>
      <c r="AK229" s="44">
        <f t="shared" si="92"/>
        <v>10.858706751270859</v>
      </c>
      <c r="AL229" s="51">
        <f>((AL198+AL196+AL197)/AL220)*100</f>
        <v>27.694406548431104</v>
      </c>
      <c r="AM229" s="51">
        <f>((AM198+AM196+AM197)/AM220)*100</f>
        <v>23.909774436090224</v>
      </c>
      <c r="AN229" s="51">
        <f>((AN198+AN196+AN197)/AN220)*100</f>
        <v>26.750448833034113</v>
      </c>
      <c r="AO229" s="51">
        <f>((AO198+AO196+AO197)/AO220)*100</f>
        <v>19.140625</v>
      </c>
      <c r="AP229" s="51">
        <f>((AP198+AP196+AP197)/AP220)*100</f>
        <v>16.835699797160245</v>
      </c>
      <c r="AQ229" s="140">
        <f t="shared" si="93"/>
        <v>22.866190922943137</v>
      </c>
      <c r="AR229" s="60"/>
      <c r="AS229" s="60"/>
      <c r="AT229" s="60"/>
      <c r="AU229" s="60"/>
      <c r="AV229" s="60"/>
      <c r="AW229" s="60"/>
      <c r="AX229" s="60"/>
      <c r="AY229" s="60"/>
      <c r="AZ229" s="137"/>
      <c r="BA229" s="22" t="s">
        <v>49</v>
      </c>
      <c r="BB229" s="25"/>
      <c r="BC229" s="44">
        <f t="shared" si="94"/>
        <v>3.1420160123560343</v>
      </c>
      <c r="BD229" s="51">
        <f>((BD198+BD196+BD197)/BD220)*100</f>
        <v>24.48074018126888</v>
      </c>
      <c r="BE229" s="51">
        <f>((BE198+BE196+BE197)/BE220)*100</f>
        <v>20.20358700920989</v>
      </c>
      <c r="BF229" s="51">
        <f>((BF198+BF196+BF197)/BF220)*100</f>
        <v>22.466085805668907</v>
      </c>
      <c r="BG229" s="51">
        <f>((BG198+BG196+BG197)/BG220)*100</f>
        <v>6.868856389355072</v>
      </c>
      <c r="BH229" s="51">
        <f>((BH198+BH196+BH197)/BH220)*100</f>
        <v>21.338724168912847</v>
      </c>
      <c r="BI229" s="140">
        <f t="shared" si="95"/>
        <v>19.07159871088312</v>
      </c>
    </row>
    <row r="230" spans="8:61" ht="12">
      <c r="H230" s="60"/>
      <c r="I230" s="60"/>
      <c r="J230" s="60"/>
      <c r="K230" s="60"/>
      <c r="L230" s="60"/>
      <c r="M230" s="60"/>
      <c r="N230" s="60"/>
      <c r="O230" s="60"/>
      <c r="P230" s="61"/>
      <c r="Q230" s="22" t="s">
        <v>50</v>
      </c>
      <c r="S230" s="44">
        <f t="shared" si="90"/>
        <v>-0.3547472979877089</v>
      </c>
      <c r="T230" s="51">
        <f>((T198+T196+T197)/T193)*100</f>
        <v>12.729170448357232</v>
      </c>
      <c r="U230" s="51">
        <f>((U198+U196+U197)/U193)*100</f>
        <v>17.185477142610548</v>
      </c>
      <c r="V230" s="51">
        <f>((V198+V196+V197)/V193)*100</f>
        <v>18.623290900518626</v>
      </c>
      <c r="W230" s="51">
        <f>((W198+W196+W197)/W193)*100</f>
        <v>10.504239046659157</v>
      </c>
      <c r="X230" s="51">
        <f>((X198+X196+X197)/X193)*100</f>
        <v>13.083917746344941</v>
      </c>
      <c r="Y230" s="140">
        <f t="shared" si="91"/>
        <v>14.4252190568981</v>
      </c>
      <c r="AH230" s="137"/>
      <c r="AI230" s="22" t="s">
        <v>50</v>
      </c>
      <c r="AJ230" s="25"/>
      <c r="AK230" s="44">
        <f t="shared" si="92"/>
        <v>2.430613810512405</v>
      </c>
      <c r="AL230" s="51">
        <f>((AL198+AL196+AL197)/AL193)*100</f>
        <v>11.673375503162738</v>
      </c>
      <c r="AM230" s="51">
        <f>((AM198+AM196+AM197)/AM193)*100</f>
        <v>11.07242339832869</v>
      </c>
      <c r="AN230" s="51">
        <f>((AN198+AN196+AN197)/AN193)*100</f>
        <v>11.622464898595943</v>
      </c>
      <c r="AO230" s="51">
        <f>((AO198+AO196+AO197)/AO193)*100</f>
        <v>9.133271202236719</v>
      </c>
      <c r="AP230" s="51">
        <f>((AP198+AP196+AP197)/AP193)*100</f>
        <v>9.242761692650333</v>
      </c>
      <c r="AQ230" s="140">
        <f t="shared" si="93"/>
        <v>10.548859338994884</v>
      </c>
      <c r="AR230" s="60"/>
      <c r="AS230" s="60"/>
      <c r="AT230" s="60"/>
      <c r="AU230" s="60"/>
      <c r="AV230" s="60"/>
      <c r="AW230" s="60"/>
      <c r="AX230" s="60"/>
      <c r="AY230" s="60"/>
      <c r="AZ230" s="137"/>
      <c r="BA230" s="22" t="s">
        <v>50</v>
      </c>
      <c r="BB230" s="25"/>
      <c r="BC230" s="44">
        <f t="shared" si="94"/>
        <v>14.665021392471392</v>
      </c>
      <c r="BD230" s="51">
        <f>((BD198+BD196+BD197)/BD193)*100</f>
        <v>35.71625344352617</v>
      </c>
      <c r="BE230" s="51">
        <f>((BE198+BE196+BE197)/BE193)*100</f>
        <v>23.06330234617087</v>
      </c>
      <c r="BF230" s="51">
        <f>((BF198+BF196+BF197)/BF193)*100</f>
        <v>22.9108086829378</v>
      </c>
      <c r="BG230" s="51">
        <f>((BG198+BG196+BG197)/BG193)*100</f>
        <v>6.173903674173042</v>
      </c>
      <c r="BH230" s="51">
        <f>((BH198+BH196+BH197)/BH193)*100</f>
        <v>21.05123205105478</v>
      </c>
      <c r="BI230" s="140">
        <f t="shared" si="95"/>
        <v>21.783100039572535</v>
      </c>
    </row>
    <row r="231" spans="8:61" ht="12">
      <c r="H231" s="60"/>
      <c r="I231" s="60"/>
      <c r="J231" s="60"/>
      <c r="K231" s="60"/>
      <c r="L231" s="60"/>
      <c r="M231" s="60"/>
      <c r="N231" s="60"/>
      <c r="O231" s="60"/>
      <c r="P231" s="61"/>
      <c r="AH231" s="137"/>
      <c r="AI231" s="25"/>
      <c r="AJ231" s="25"/>
      <c r="AK231" s="25"/>
      <c r="AL231" s="25"/>
      <c r="AM231" s="25"/>
      <c r="AN231" s="25"/>
      <c r="AO231" s="25"/>
      <c r="AP231" s="25"/>
      <c r="AQ231" s="137"/>
      <c r="AR231" s="60"/>
      <c r="AS231" s="60"/>
      <c r="AT231" s="60"/>
      <c r="AU231" s="60"/>
      <c r="AV231" s="60"/>
      <c r="AW231" s="60"/>
      <c r="AX231" s="60"/>
      <c r="AY231" s="60"/>
      <c r="AZ231" s="137"/>
      <c r="BI231" s="137"/>
    </row>
    <row r="232" spans="8:61" ht="12">
      <c r="H232" s="60"/>
      <c r="I232" s="60"/>
      <c r="J232" s="60"/>
      <c r="K232" s="60"/>
      <c r="L232" s="60"/>
      <c r="M232" s="60"/>
      <c r="N232" s="60"/>
      <c r="O232" s="60"/>
      <c r="P232" s="61"/>
      <c r="AH232" s="137"/>
      <c r="AI232" s="25"/>
      <c r="AJ232" s="25"/>
      <c r="AK232" s="25"/>
      <c r="AL232" s="25"/>
      <c r="AM232" s="25"/>
      <c r="AN232" s="25"/>
      <c r="AO232" s="25"/>
      <c r="AP232" s="25"/>
      <c r="AQ232" s="137"/>
      <c r="AR232" s="60"/>
      <c r="AS232" s="60"/>
      <c r="AT232" s="60"/>
      <c r="AU232" s="60"/>
      <c r="AV232" s="60"/>
      <c r="AW232" s="60"/>
      <c r="AX232" s="60"/>
      <c r="AY232" s="60"/>
      <c r="AZ232" s="137"/>
      <c r="BI232" s="137"/>
    </row>
    <row r="233" spans="8:61" ht="12">
      <c r="H233" s="60"/>
      <c r="I233" s="60"/>
      <c r="J233" s="60"/>
      <c r="K233" s="60"/>
      <c r="L233" s="60"/>
      <c r="M233" s="60"/>
      <c r="N233" s="60"/>
      <c r="O233" s="60"/>
      <c r="P233" s="61"/>
      <c r="AH233" s="137"/>
      <c r="AI233" s="25"/>
      <c r="AJ233" s="25"/>
      <c r="AK233" s="25"/>
      <c r="AL233" s="25"/>
      <c r="AM233" s="25"/>
      <c r="AN233" s="25"/>
      <c r="AO233" s="25"/>
      <c r="AP233" s="25"/>
      <c r="AQ233" s="137"/>
      <c r="AR233" s="60"/>
      <c r="AS233" s="60"/>
      <c r="AT233" s="60"/>
      <c r="AU233" s="60"/>
      <c r="AV233" s="60"/>
      <c r="AW233" s="60"/>
      <c r="AX233" s="60"/>
      <c r="AY233" s="60"/>
      <c r="AZ233" s="137"/>
      <c r="BI233" s="137"/>
    </row>
    <row r="234" spans="8:61" ht="12">
      <c r="H234" s="60"/>
      <c r="I234" s="60"/>
      <c r="J234" s="60"/>
      <c r="K234" s="60"/>
      <c r="L234" s="60"/>
      <c r="M234" s="60"/>
      <c r="N234" s="60"/>
      <c r="O234" s="60"/>
      <c r="P234" s="61"/>
      <c r="AI234" s="25"/>
      <c r="AJ234" s="25"/>
      <c r="AK234" s="25"/>
      <c r="AL234" s="25"/>
      <c r="AM234" s="25"/>
      <c r="AN234" s="25"/>
      <c r="AO234" s="25"/>
      <c r="AP234" s="25"/>
      <c r="AR234" s="60"/>
      <c r="AS234" s="60"/>
      <c r="AT234" s="60"/>
      <c r="AU234" s="60"/>
      <c r="AV234" s="60"/>
      <c r="AW234" s="60"/>
      <c r="AX234" s="60"/>
      <c r="AY234" s="60"/>
      <c r="AZ234" s="137"/>
      <c r="BI234" s="137"/>
    </row>
    <row r="235" spans="8:61" ht="12">
      <c r="H235" s="60"/>
      <c r="I235" s="60"/>
      <c r="J235" s="60"/>
      <c r="K235" s="60"/>
      <c r="L235" s="60"/>
      <c r="M235" s="60"/>
      <c r="N235" s="60"/>
      <c r="O235" s="60"/>
      <c r="P235" s="61"/>
      <c r="U235" s="145" t="s">
        <v>224</v>
      </c>
      <c r="AI235" s="25"/>
      <c r="AJ235" s="25"/>
      <c r="AK235" s="25"/>
      <c r="AL235" s="25"/>
      <c r="AM235" s="145" t="s">
        <v>235</v>
      </c>
      <c r="AN235" s="25"/>
      <c r="AO235" s="25"/>
      <c r="AP235" s="25"/>
      <c r="AR235" s="60"/>
      <c r="AS235" s="60"/>
      <c r="AT235" s="60"/>
      <c r="AU235" s="60"/>
      <c r="AV235" s="60"/>
      <c r="AW235" s="60"/>
      <c r="AX235" s="60"/>
      <c r="AY235" s="60"/>
      <c r="AZ235" s="137"/>
      <c r="BE235" s="151" t="s">
        <v>246</v>
      </c>
      <c r="BI235" s="137"/>
    </row>
    <row r="236" spans="8:61" ht="12">
      <c r="H236" s="60"/>
      <c r="I236" s="60"/>
      <c r="J236" s="60"/>
      <c r="K236" s="60"/>
      <c r="L236" s="60"/>
      <c r="M236" s="60"/>
      <c r="N236" s="60"/>
      <c r="O236" s="60"/>
      <c r="P236" s="61"/>
      <c r="Q236" s="23" t="s">
        <v>124</v>
      </c>
      <c r="R236" s="23"/>
      <c r="S236" s="23"/>
      <c r="T236" s="23"/>
      <c r="U236" s="23"/>
      <c r="V236" s="23"/>
      <c r="W236" s="23"/>
      <c r="X236" s="23"/>
      <c r="Y236" s="136"/>
      <c r="Z236" s="23" t="s">
        <v>140</v>
      </c>
      <c r="AA236" s="23"/>
      <c r="AB236" s="23"/>
      <c r="AC236" s="23"/>
      <c r="AD236" s="23"/>
      <c r="AE236" s="23"/>
      <c r="AF236" s="23"/>
      <c r="AG236" s="23"/>
      <c r="AH236" s="136"/>
      <c r="AI236" s="23" t="s">
        <v>140</v>
      </c>
      <c r="AJ236" s="23"/>
      <c r="AK236" s="23"/>
      <c r="AL236" s="23"/>
      <c r="AM236" s="23"/>
      <c r="AN236" s="23"/>
      <c r="AO236" s="23"/>
      <c r="AP236" s="23"/>
      <c r="AQ236" s="136"/>
      <c r="AR236" s="59" t="s">
        <v>159</v>
      </c>
      <c r="AS236" s="59"/>
      <c r="AT236" s="59"/>
      <c r="AU236" s="59"/>
      <c r="AV236" s="59"/>
      <c r="AW236" s="59"/>
      <c r="AX236" s="59"/>
      <c r="AY236" s="59"/>
      <c r="AZ236" s="136"/>
      <c r="BA236" s="136" t="s">
        <v>159</v>
      </c>
      <c r="BB236" s="136"/>
      <c r="BI236" s="137"/>
    </row>
    <row r="237" spans="8:61" ht="12">
      <c r="H237" s="60"/>
      <c r="I237" s="60"/>
      <c r="J237" s="60"/>
      <c r="K237" s="60"/>
      <c r="L237" s="60"/>
      <c r="M237" s="60"/>
      <c r="N237" s="60"/>
      <c r="O237" s="60"/>
      <c r="P237" s="61"/>
      <c r="AH237" s="137"/>
      <c r="AI237" s="22" t="s">
        <v>220</v>
      </c>
      <c r="AJ237" s="25"/>
      <c r="AK237" s="25"/>
      <c r="AL237" s="25"/>
      <c r="AM237" s="25"/>
      <c r="AN237" s="25"/>
      <c r="AO237" s="25"/>
      <c r="AP237" s="25"/>
      <c r="AQ237" s="137"/>
      <c r="AR237" s="60"/>
      <c r="AS237" s="60"/>
      <c r="AT237" s="60"/>
      <c r="AU237" s="60"/>
      <c r="AV237" s="60"/>
      <c r="AW237" s="60"/>
      <c r="AX237" s="60"/>
      <c r="AY237" s="60"/>
      <c r="AZ237" s="137"/>
      <c r="BA237" s="139" t="s">
        <v>220</v>
      </c>
      <c r="BC237" s="136"/>
      <c r="BD237" s="136"/>
      <c r="BE237" s="136"/>
      <c r="BF237" s="136"/>
      <c r="BG237" s="136"/>
      <c r="BH237" s="136"/>
      <c r="BI237" s="136"/>
    </row>
    <row r="238" spans="8:61" ht="12">
      <c r="H238" s="73" t="s">
        <v>133</v>
      </c>
      <c r="I238" s="73"/>
      <c r="J238" s="73"/>
      <c r="K238" s="73"/>
      <c r="L238" s="73"/>
      <c r="M238" s="73"/>
      <c r="N238" s="73"/>
      <c r="O238" s="73"/>
      <c r="P238" s="73"/>
      <c r="Q238" s="25" t="s">
        <v>22</v>
      </c>
      <c r="Z238" s="25" t="s">
        <v>22</v>
      </c>
      <c r="AH238" s="137"/>
      <c r="AI238" s="25" t="s">
        <v>22</v>
      </c>
      <c r="AJ238" s="25"/>
      <c r="AK238" s="25"/>
      <c r="AL238" s="25"/>
      <c r="AM238" s="25"/>
      <c r="AN238" s="25"/>
      <c r="AO238" s="25"/>
      <c r="AP238" s="25"/>
      <c r="AQ238" s="137"/>
      <c r="AR238" s="60" t="s">
        <v>22</v>
      </c>
      <c r="AS238" s="60"/>
      <c r="AT238" s="60"/>
      <c r="AU238" s="60"/>
      <c r="AV238" s="60"/>
      <c r="AW238" s="60"/>
      <c r="AX238" s="60"/>
      <c r="AY238" s="60"/>
      <c r="AZ238" s="137"/>
      <c r="BA238" s="133" t="s">
        <v>22</v>
      </c>
      <c r="BI238" s="137"/>
    </row>
    <row r="239" spans="8:61" ht="12">
      <c r="H239" s="74"/>
      <c r="I239" s="74"/>
      <c r="J239" s="74"/>
      <c r="K239" s="74"/>
      <c r="L239" s="74"/>
      <c r="M239" s="74"/>
      <c r="N239" s="74"/>
      <c r="O239" s="74"/>
      <c r="P239" s="75"/>
      <c r="Q239" s="25" t="s">
        <v>114</v>
      </c>
      <c r="Z239" s="25" t="s">
        <v>114</v>
      </c>
      <c r="AH239" s="137"/>
      <c r="AI239" s="25" t="s">
        <v>114</v>
      </c>
      <c r="AJ239" s="25"/>
      <c r="AK239" s="25"/>
      <c r="AL239" s="25"/>
      <c r="AM239" s="25"/>
      <c r="AN239" s="25"/>
      <c r="AO239" s="25"/>
      <c r="AP239" s="25"/>
      <c r="AQ239" s="137"/>
      <c r="AR239" s="60" t="s">
        <v>114</v>
      </c>
      <c r="AS239" s="60"/>
      <c r="AT239" s="60"/>
      <c r="AU239" s="60"/>
      <c r="AV239" s="60"/>
      <c r="AW239" s="60"/>
      <c r="AX239" s="60"/>
      <c r="AY239" s="60"/>
      <c r="AZ239" s="137"/>
      <c r="BA239" s="133" t="s">
        <v>114</v>
      </c>
      <c r="BI239" s="137"/>
    </row>
    <row r="240" spans="8:61" ht="12">
      <c r="H240" s="74" t="s">
        <v>22</v>
      </c>
      <c r="I240" s="74"/>
      <c r="J240" s="74"/>
      <c r="K240" s="74"/>
      <c r="L240" s="74"/>
      <c r="M240" s="74"/>
      <c r="N240" s="74"/>
      <c r="O240" s="74"/>
      <c r="P240" s="75"/>
      <c r="Q240" s="25" t="s">
        <v>52</v>
      </c>
      <c r="Z240" s="25" t="s">
        <v>52</v>
      </c>
      <c r="AH240" s="137"/>
      <c r="AI240" s="25" t="s">
        <v>52</v>
      </c>
      <c r="AJ240" s="25"/>
      <c r="AK240" s="25"/>
      <c r="AL240" s="25"/>
      <c r="AM240" s="25"/>
      <c r="AN240" s="25"/>
      <c r="AO240" s="25"/>
      <c r="AP240" s="25"/>
      <c r="AQ240" s="137"/>
      <c r="AR240" s="60" t="s">
        <v>52</v>
      </c>
      <c r="AS240" s="60"/>
      <c r="AT240" s="60"/>
      <c r="AU240" s="60"/>
      <c r="AV240" s="60"/>
      <c r="AW240" s="60"/>
      <c r="AX240" s="60"/>
      <c r="AY240" s="60"/>
      <c r="AZ240" s="137"/>
      <c r="BA240" s="133" t="s">
        <v>52</v>
      </c>
      <c r="BI240" s="137"/>
    </row>
    <row r="241" spans="8:61" ht="12">
      <c r="H241" s="74" t="s">
        <v>114</v>
      </c>
      <c r="I241" s="74"/>
      <c r="J241" s="74"/>
      <c r="K241" s="74"/>
      <c r="L241" s="74"/>
      <c r="M241" s="74"/>
      <c r="N241" s="74"/>
      <c r="O241" s="74"/>
      <c r="P241" s="75"/>
      <c r="AH241" s="137"/>
      <c r="AI241" s="25"/>
      <c r="AJ241" s="25"/>
      <c r="AK241" s="25"/>
      <c r="AL241" s="25"/>
      <c r="AM241" s="25"/>
      <c r="AN241" s="25"/>
      <c r="AO241" s="25"/>
      <c r="AP241" s="25"/>
      <c r="AQ241" s="137"/>
      <c r="AR241" s="60"/>
      <c r="AS241" s="60"/>
      <c r="AT241" s="60"/>
      <c r="AU241" s="60"/>
      <c r="AV241" s="60"/>
      <c r="AW241" s="60"/>
      <c r="AX241" s="60"/>
      <c r="AY241" s="60"/>
      <c r="AZ241" s="137"/>
      <c r="BI241" s="137"/>
    </row>
    <row r="242" spans="8:61" ht="12">
      <c r="H242" s="74" t="s">
        <v>52</v>
      </c>
      <c r="I242" s="74"/>
      <c r="J242" s="74"/>
      <c r="K242" s="74"/>
      <c r="L242" s="74"/>
      <c r="M242" s="74"/>
      <c r="N242" s="74"/>
      <c r="O242" s="74"/>
      <c r="P242" s="75"/>
      <c r="T242" s="28" t="s">
        <v>25</v>
      </c>
      <c r="U242" s="28" t="s">
        <v>25</v>
      </c>
      <c r="V242" s="28" t="s">
        <v>25</v>
      </c>
      <c r="W242" s="28" t="s">
        <v>25</v>
      </c>
      <c r="X242" s="28" t="s">
        <v>25</v>
      </c>
      <c r="Y242" s="138"/>
      <c r="AC242" s="28" t="s">
        <v>25</v>
      </c>
      <c r="AD242" s="28" t="s">
        <v>25</v>
      </c>
      <c r="AE242" s="28" t="s">
        <v>25</v>
      </c>
      <c r="AF242" s="28" t="s">
        <v>25</v>
      </c>
      <c r="AG242" s="28" t="s">
        <v>25</v>
      </c>
      <c r="AH242" s="138"/>
      <c r="AI242" s="25"/>
      <c r="AJ242" s="25"/>
      <c r="AK242" s="25"/>
      <c r="AL242" s="28" t="s">
        <v>25</v>
      </c>
      <c r="AM242" s="28" t="s">
        <v>25</v>
      </c>
      <c r="AN242" s="28" t="s">
        <v>25</v>
      </c>
      <c r="AO242" s="28" t="s">
        <v>25</v>
      </c>
      <c r="AP242" s="28" t="s">
        <v>25</v>
      </c>
      <c r="AQ242" s="138"/>
      <c r="AR242" s="60"/>
      <c r="AS242" s="60"/>
      <c r="AT242" s="60"/>
      <c r="AU242" s="62" t="s">
        <v>25</v>
      </c>
      <c r="AV242" s="62" t="s">
        <v>25</v>
      </c>
      <c r="AW242" s="62" t="s">
        <v>25</v>
      </c>
      <c r="AX242" s="62" t="s">
        <v>25</v>
      </c>
      <c r="AY242" s="62" t="s">
        <v>25</v>
      </c>
      <c r="AZ242" s="138"/>
      <c r="BI242" s="137"/>
    </row>
    <row r="243" spans="8:61" ht="12">
      <c r="H243" s="74"/>
      <c r="I243" s="74"/>
      <c r="J243" s="74"/>
      <c r="K243" s="74"/>
      <c r="L243" s="74"/>
      <c r="M243" s="74"/>
      <c r="N243" s="74"/>
      <c r="O243" s="74"/>
      <c r="P243" s="75"/>
      <c r="T243" s="28">
        <v>2006</v>
      </c>
      <c r="U243" s="28">
        <v>2005</v>
      </c>
      <c r="V243" s="28">
        <v>2004</v>
      </c>
      <c r="W243" s="28">
        <v>2003</v>
      </c>
      <c r="X243" s="28">
        <v>2002</v>
      </c>
      <c r="Y243" s="138" t="s">
        <v>117</v>
      </c>
      <c r="AC243" s="28">
        <v>2006</v>
      </c>
      <c r="AD243" s="28">
        <v>2005</v>
      </c>
      <c r="AE243" s="28">
        <v>2004</v>
      </c>
      <c r="AF243" s="28">
        <v>2003</v>
      </c>
      <c r="AG243" s="28">
        <v>2002</v>
      </c>
      <c r="AH243" s="138" t="s">
        <v>117</v>
      </c>
      <c r="AI243" s="25"/>
      <c r="AJ243" s="25"/>
      <c r="AK243" s="25"/>
      <c r="AL243" s="28">
        <v>2006</v>
      </c>
      <c r="AM243" s="28">
        <v>2005</v>
      </c>
      <c r="AN243" s="28">
        <v>2004</v>
      </c>
      <c r="AO243" s="28">
        <v>2003</v>
      </c>
      <c r="AP243" s="28">
        <v>2002</v>
      </c>
      <c r="AQ243" s="138" t="s">
        <v>117</v>
      </c>
      <c r="AR243" s="60"/>
      <c r="AS243" s="60"/>
      <c r="AT243" s="60"/>
      <c r="AU243" s="62">
        <v>2006</v>
      </c>
      <c r="AV243" s="62">
        <v>2005</v>
      </c>
      <c r="AW243" s="62">
        <v>2004</v>
      </c>
      <c r="AX243" s="62">
        <v>2003</v>
      </c>
      <c r="AY243" s="62">
        <v>2002</v>
      </c>
      <c r="AZ243" s="138" t="s">
        <v>117</v>
      </c>
      <c r="BD243" s="143" t="s">
        <v>25</v>
      </c>
      <c r="BE243" s="143" t="s">
        <v>25</v>
      </c>
      <c r="BF243" s="143" t="s">
        <v>25</v>
      </c>
      <c r="BG243" s="143" t="s">
        <v>25</v>
      </c>
      <c r="BH243" s="143" t="s">
        <v>25</v>
      </c>
      <c r="BI243" s="138"/>
    </row>
    <row r="244" spans="8:61" ht="12">
      <c r="H244" s="74"/>
      <c r="I244" s="74"/>
      <c r="J244" s="74"/>
      <c r="K244" s="76" t="s">
        <v>25</v>
      </c>
      <c r="L244" s="76" t="s">
        <v>25</v>
      </c>
      <c r="M244" s="76" t="s">
        <v>25</v>
      </c>
      <c r="N244" s="76" t="s">
        <v>25</v>
      </c>
      <c r="O244" s="76" t="s">
        <v>25</v>
      </c>
      <c r="P244" s="77"/>
      <c r="T244" s="28" t="s">
        <v>71</v>
      </c>
      <c r="U244" s="28" t="s">
        <v>71</v>
      </c>
      <c r="V244" s="28" t="s">
        <v>71</v>
      </c>
      <c r="W244" s="28" t="s">
        <v>71</v>
      </c>
      <c r="X244" s="28" t="s">
        <v>71</v>
      </c>
      <c r="Y244" s="138" t="s">
        <v>71</v>
      </c>
      <c r="AC244" s="28" t="s">
        <v>71</v>
      </c>
      <c r="AD244" s="28" t="s">
        <v>71</v>
      </c>
      <c r="AE244" s="28" t="s">
        <v>71</v>
      </c>
      <c r="AF244" s="28" t="s">
        <v>71</v>
      </c>
      <c r="AG244" s="28" t="s">
        <v>71</v>
      </c>
      <c r="AH244" s="138" t="s">
        <v>71</v>
      </c>
      <c r="AI244" s="25"/>
      <c r="AJ244" s="25"/>
      <c r="AK244" s="25"/>
      <c r="AL244" s="28" t="s">
        <v>71</v>
      </c>
      <c r="AM244" s="28" t="s">
        <v>71</v>
      </c>
      <c r="AN244" s="28" t="s">
        <v>71</v>
      </c>
      <c r="AO244" s="28" t="s">
        <v>71</v>
      </c>
      <c r="AP244" s="28" t="s">
        <v>71</v>
      </c>
      <c r="AQ244" s="138" t="s">
        <v>71</v>
      </c>
      <c r="AR244" s="60"/>
      <c r="AS244" s="60"/>
      <c r="AT244" s="60"/>
      <c r="AU244" s="62" t="s">
        <v>71</v>
      </c>
      <c r="AV244" s="62" t="s">
        <v>71</v>
      </c>
      <c r="AW244" s="62" t="s">
        <v>71</v>
      </c>
      <c r="AX244" s="62" t="s">
        <v>71</v>
      </c>
      <c r="AY244" s="62" t="s">
        <v>71</v>
      </c>
      <c r="AZ244" s="138" t="s">
        <v>71</v>
      </c>
      <c r="BD244" s="143">
        <v>2006</v>
      </c>
      <c r="BE244" s="143">
        <v>2005</v>
      </c>
      <c r="BF244" s="143">
        <v>2004</v>
      </c>
      <c r="BG244" s="143">
        <v>2003</v>
      </c>
      <c r="BH244" s="143">
        <v>2002</v>
      </c>
      <c r="BI244" s="138" t="s">
        <v>117</v>
      </c>
    </row>
    <row r="245" spans="8:61" ht="12">
      <c r="H245" s="74"/>
      <c r="I245" s="74"/>
      <c r="J245" s="74"/>
      <c r="K245" s="76">
        <v>2006</v>
      </c>
      <c r="L245" s="76">
        <v>2005</v>
      </c>
      <c r="M245" s="76">
        <v>2004</v>
      </c>
      <c r="N245" s="76">
        <v>2003</v>
      </c>
      <c r="O245" s="76">
        <v>2002</v>
      </c>
      <c r="P245" s="77" t="s">
        <v>117</v>
      </c>
      <c r="S245" s="22" t="s">
        <v>219</v>
      </c>
      <c r="T245" s="28" t="s">
        <v>38</v>
      </c>
      <c r="U245" s="28" t="s">
        <v>38</v>
      </c>
      <c r="V245" s="28" t="s">
        <v>38</v>
      </c>
      <c r="W245" s="28" t="s">
        <v>38</v>
      </c>
      <c r="X245" s="28" t="s">
        <v>38</v>
      </c>
      <c r="Y245" s="143" t="s">
        <v>38</v>
      </c>
      <c r="AB245" s="22" t="s">
        <v>218</v>
      </c>
      <c r="AC245" s="28" t="s">
        <v>68</v>
      </c>
      <c r="AD245" s="28" t="s">
        <v>68</v>
      </c>
      <c r="AE245" s="28" t="s">
        <v>68</v>
      </c>
      <c r="AF245" s="28" t="s">
        <v>68</v>
      </c>
      <c r="AG245" s="28" t="s">
        <v>68</v>
      </c>
      <c r="AH245" s="138" t="s">
        <v>68</v>
      </c>
      <c r="AI245" s="25"/>
      <c r="AJ245" s="25"/>
      <c r="AK245" s="22" t="s">
        <v>218</v>
      </c>
      <c r="AL245" s="28" t="s">
        <v>38</v>
      </c>
      <c r="AM245" s="28" t="s">
        <v>38</v>
      </c>
      <c r="AN245" s="28" t="s">
        <v>38</v>
      </c>
      <c r="AO245" s="28" t="s">
        <v>38</v>
      </c>
      <c r="AP245" s="28" t="s">
        <v>38</v>
      </c>
      <c r="AQ245" s="143" t="s">
        <v>38</v>
      </c>
      <c r="AR245" s="60"/>
      <c r="AS245" s="60"/>
      <c r="AT245" s="64" t="s">
        <v>219</v>
      </c>
      <c r="AU245" s="62" t="s">
        <v>68</v>
      </c>
      <c r="AV245" s="62" t="s">
        <v>68</v>
      </c>
      <c r="AW245" s="62" t="s">
        <v>68</v>
      </c>
      <c r="AX245" s="62" t="s">
        <v>68</v>
      </c>
      <c r="AY245" s="62" t="s">
        <v>68</v>
      </c>
      <c r="AZ245" s="138" t="s">
        <v>68</v>
      </c>
      <c r="BD245" s="143" t="s">
        <v>71</v>
      </c>
      <c r="BE245" s="143" t="s">
        <v>71</v>
      </c>
      <c r="BF245" s="143" t="s">
        <v>71</v>
      </c>
      <c r="BG245" s="143" t="s">
        <v>71</v>
      </c>
      <c r="BH245" s="143" t="s">
        <v>71</v>
      </c>
      <c r="BI245" s="138" t="s">
        <v>71</v>
      </c>
    </row>
    <row r="246" spans="8:61" ht="12">
      <c r="H246" s="74"/>
      <c r="I246" s="74"/>
      <c r="J246" s="74"/>
      <c r="K246" s="76" t="s">
        <v>71</v>
      </c>
      <c r="L246" s="76" t="s">
        <v>71</v>
      </c>
      <c r="M246" s="76" t="s">
        <v>71</v>
      </c>
      <c r="N246" s="76" t="s">
        <v>71</v>
      </c>
      <c r="O246" s="76" t="s">
        <v>71</v>
      </c>
      <c r="P246" s="77" t="s">
        <v>71</v>
      </c>
      <c r="Q246" s="25" t="s">
        <v>26</v>
      </c>
      <c r="R246" s="22"/>
      <c r="S246" s="132">
        <f>T246-X246</f>
        <v>1910</v>
      </c>
      <c r="T246" s="42">
        <v>3625</v>
      </c>
      <c r="U246" s="42">
        <v>6219</v>
      </c>
      <c r="V246" s="42">
        <v>2858</v>
      </c>
      <c r="W246" s="42">
        <v>1885</v>
      </c>
      <c r="X246" s="42">
        <v>1715</v>
      </c>
      <c r="Y246" s="53">
        <f>AVERAGE(T246:X246)</f>
        <v>3260.4</v>
      </c>
      <c r="Z246" s="25" t="s">
        <v>26</v>
      </c>
      <c r="AA246" s="22"/>
      <c r="AB246" s="132">
        <f>AC246-AG246</f>
        <v>518</v>
      </c>
      <c r="AC246" s="42">
        <v>796</v>
      </c>
      <c r="AD246" s="42">
        <v>552</v>
      </c>
      <c r="AE246" s="42">
        <v>433</v>
      </c>
      <c r="AF246" s="42">
        <v>307</v>
      </c>
      <c r="AG246" s="42">
        <v>278</v>
      </c>
      <c r="AH246" s="53">
        <f>AVERAGE(AC246:AG246)</f>
        <v>473.2</v>
      </c>
      <c r="AI246" s="25" t="s">
        <v>26</v>
      </c>
      <c r="AJ246" s="22"/>
      <c r="AK246" s="132">
        <f>AL246-AP246</f>
        <v>1036</v>
      </c>
      <c r="AL246" s="42">
        <f aca="true" t="shared" si="96" ref="AL246:AP250">2*AC246</f>
        <v>1592</v>
      </c>
      <c r="AM246" s="42">
        <f t="shared" si="96"/>
        <v>1104</v>
      </c>
      <c r="AN246" s="42">
        <f t="shared" si="96"/>
        <v>866</v>
      </c>
      <c r="AO246" s="42">
        <f t="shared" si="96"/>
        <v>614</v>
      </c>
      <c r="AP246" s="42">
        <f t="shared" si="96"/>
        <v>556</v>
      </c>
      <c r="AQ246" s="53">
        <f>AVERAGE(AL246:AP246)</f>
        <v>946.4</v>
      </c>
      <c r="AR246" s="60" t="s">
        <v>26</v>
      </c>
      <c r="AS246" s="64"/>
      <c r="AT246" s="132">
        <f>AU246-AY246</f>
        <v>243</v>
      </c>
      <c r="AU246" s="65">
        <v>10992</v>
      </c>
      <c r="AV246" s="65">
        <v>13177</v>
      </c>
      <c r="AW246" s="65">
        <v>10780</v>
      </c>
      <c r="AX246" s="65">
        <v>12625</v>
      </c>
      <c r="AY246" s="65">
        <v>10749</v>
      </c>
      <c r="AZ246" s="53">
        <f>AVERAGE(AU246:AY246)</f>
        <v>11664.6</v>
      </c>
      <c r="BA246" s="133" t="s">
        <v>26</v>
      </c>
      <c r="BB246" s="139"/>
      <c r="BC246" s="139" t="s">
        <v>219</v>
      </c>
      <c r="BD246" s="143" t="s">
        <v>38</v>
      </c>
      <c r="BE246" s="143" t="s">
        <v>38</v>
      </c>
      <c r="BF246" s="143" t="s">
        <v>38</v>
      </c>
      <c r="BG246" s="143" t="s">
        <v>38</v>
      </c>
      <c r="BH246" s="143" t="s">
        <v>38</v>
      </c>
      <c r="BI246" s="143" t="s">
        <v>38</v>
      </c>
    </row>
    <row r="247" spans="8:61" ht="12">
      <c r="H247" s="74"/>
      <c r="I247" s="74"/>
      <c r="J247" s="74"/>
      <c r="K247" s="76" t="s">
        <v>68</v>
      </c>
      <c r="L247" s="76" t="s">
        <v>68</v>
      </c>
      <c r="M247" s="76" t="s">
        <v>68</v>
      </c>
      <c r="N247" s="76" t="s">
        <v>68</v>
      </c>
      <c r="O247" s="76" t="s">
        <v>68</v>
      </c>
      <c r="P247" s="77" t="s">
        <v>68</v>
      </c>
      <c r="Q247" s="25" t="s">
        <v>93</v>
      </c>
      <c r="S247" s="132">
        <f>T247-X247</f>
        <v>5054</v>
      </c>
      <c r="T247" s="42">
        <v>29024</v>
      </c>
      <c r="U247" s="42">
        <v>29989</v>
      </c>
      <c r="V247" s="42">
        <v>27838</v>
      </c>
      <c r="W247" s="42">
        <v>25525</v>
      </c>
      <c r="X247" s="42">
        <v>23970</v>
      </c>
      <c r="Y247" s="53">
        <f>AVERAGE(T247:X247)</f>
        <v>27269.2</v>
      </c>
      <c r="Z247" s="25" t="s">
        <v>93</v>
      </c>
      <c r="AB247" s="132">
        <f>AC247-AG247</f>
        <v>1116</v>
      </c>
      <c r="AC247" s="42">
        <v>1811</v>
      </c>
      <c r="AD247" s="42">
        <v>1281</v>
      </c>
      <c r="AE247" s="42">
        <f>605+AE246</f>
        <v>1038</v>
      </c>
      <c r="AF247" s="42">
        <f>512+AF246</f>
        <v>819</v>
      </c>
      <c r="AG247" s="42">
        <f>417+AG246</f>
        <v>695</v>
      </c>
      <c r="AH247" s="53">
        <f>AVERAGE(AC247:AG247)</f>
        <v>1128.8</v>
      </c>
      <c r="AI247" s="25" t="s">
        <v>93</v>
      </c>
      <c r="AJ247" s="25"/>
      <c r="AK247" s="132">
        <f>AL247-AP247</f>
        <v>2232</v>
      </c>
      <c r="AL247" s="42">
        <f t="shared" si="96"/>
        <v>3622</v>
      </c>
      <c r="AM247" s="42">
        <f t="shared" si="96"/>
        <v>2562</v>
      </c>
      <c r="AN247" s="42">
        <f t="shared" si="96"/>
        <v>2076</v>
      </c>
      <c r="AO247" s="42">
        <f t="shared" si="96"/>
        <v>1638</v>
      </c>
      <c r="AP247" s="42">
        <f t="shared" si="96"/>
        <v>1390</v>
      </c>
      <c r="AQ247" s="53">
        <f>AVERAGE(AL247:AP247)</f>
        <v>2257.6</v>
      </c>
      <c r="AR247" s="60" t="s">
        <v>93</v>
      </c>
      <c r="AS247" s="60"/>
      <c r="AT247" s="132">
        <f>AU247-AY247</f>
        <v>3226</v>
      </c>
      <c r="AU247" s="65">
        <v>25553</v>
      </c>
      <c r="AV247" s="65">
        <v>27198</v>
      </c>
      <c r="AW247" s="65">
        <v>22944</v>
      </c>
      <c r="AX247" s="65">
        <f>8575+AX246</f>
        <v>21200</v>
      </c>
      <c r="AY247" s="65">
        <f>11578+AY246</f>
        <v>22327</v>
      </c>
      <c r="AZ247" s="53">
        <f>AVERAGE(AU247:AY247)</f>
        <v>23844.4</v>
      </c>
      <c r="BA247" s="133" t="s">
        <v>93</v>
      </c>
      <c r="BC247" s="146">
        <f>BD247-BH247</f>
        <v>486</v>
      </c>
      <c r="BD247" s="147">
        <f aca="true" t="shared" si="97" ref="BD247:BF251">2*AU246</f>
        <v>21984</v>
      </c>
      <c r="BE247" s="147">
        <f t="shared" si="97"/>
        <v>26354</v>
      </c>
      <c r="BF247" s="147">
        <f t="shared" si="97"/>
        <v>21560</v>
      </c>
      <c r="BG247" s="147">
        <f aca="true" t="shared" si="98" ref="BG247:BH251">2*AX246</f>
        <v>25250</v>
      </c>
      <c r="BH247" s="147">
        <f t="shared" si="98"/>
        <v>21498</v>
      </c>
      <c r="BI247" s="53">
        <f>AVERAGE(BD247:BH247)</f>
        <v>23329.2</v>
      </c>
    </row>
    <row r="248" spans="8:61" ht="12">
      <c r="H248" s="74" t="s">
        <v>26</v>
      </c>
      <c r="I248" s="78"/>
      <c r="J248" s="78"/>
      <c r="K248" s="79">
        <v>1905</v>
      </c>
      <c r="L248" s="79">
        <v>1483</v>
      </c>
      <c r="M248" s="79">
        <v>1307</v>
      </c>
      <c r="N248" s="79">
        <v>676</v>
      </c>
      <c r="O248" s="79"/>
      <c r="P248" s="80">
        <f>AVERAGE(K248:O248)</f>
        <v>1342.75</v>
      </c>
      <c r="Q248" s="25" t="s">
        <v>72</v>
      </c>
      <c r="S248" s="132">
        <f>T248-X248</f>
        <v>586</v>
      </c>
      <c r="T248" s="42">
        <v>3008</v>
      </c>
      <c r="U248" s="42">
        <v>4108</v>
      </c>
      <c r="V248" s="42">
        <v>3521</v>
      </c>
      <c r="W248" s="42">
        <v>2486</v>
      </c>
      <c r="X248" s="42">
        <v>2422</v>
      </c>
      <c r="Y248" s="53">
        <f>AVERAGE(T248:X248)</f>
        <v>3109</v>
      </c>
      <c r="Z248" s="25" t="s">
        <v>72</v>
      </c>
      <c r="AB248" s="132">
        <f>AC248-AG248</f>
        <v>665</v>
      </c>
      <c r="AC248" s="42">
        <v>865</v>
      </c>
      <c r="AD248" s="42">
        <v>626</v>
      </c>
      <c r="AE248" s="42">
        <v>408</v>
      </c>
      <c r="AF248" s="42">
        <v>275</v>
      </c>
      <c r="AG248" s="42">
        <v>200</v>
      </c>
      <c r="AH248" s="53">
        <f>AVERAGE(AC248:AG248)</f>
        <v>474.8</v>
      </c>
      <c r="AI248" s="25" t="s">
        <v>72</v>
      </c>
      <c r="AJ248" s="25"/>
      <c r="AK248" s="132">
        <f>AL248-AP248</f>
        <v>1330</v>
      </c>
      <c r="AL248" s="42">
        <f t="shared" si="96"/>
        <v>1730</v>
      </c>
      <c r="AM248" s="42">
        <f t="shared" si="96"/>
        <v>1252</v>
      </c>
      <c r="AN248" s="42">
        <f t="shared" si="96"/>
        <v>816</v>
      </c>
      <c r="AO248" s="42">
        <f t="shared" si="96"/>
        <v>550</v>
      </c>
      <c r="AP248" s="42">
        <f t="shared" si="96"/>
        <v>400</v>
      </c>
      <c r="AQ248" s="53">
        <f>AVERAGE(AL248:AP248)</f>
        <v>949.6</v>
      </c>
      <c r="AR248" s="60" t="s">
        <v>72</v>
      </c>
      <c r="AS248" s="60"/>
      <c r="AT248" s="132">
        <f>AU248-AY248</f>
        <v>-1543</v>
      </c>
      <c r="AU248" s="65">
        <v>7265</v>
      </c>
      <c r="AV248" s="65">
        <v>9511</v>
      </c>
      <c r="AW248" s="65">
        <v>8564</v>
      </c>
      <c r="AX248" s="65">
        <v>8471</v>
      </c>
      <c r="AY248" s="65">
        <v>8808</v>
      </c>
      <c r="AZ248" s="53">
        <f>AVERAGE(AU248:AY248)</f>
        <v>8523.8</v>
      </c>
      <c r="BA248" s="133" t="s">
        <v>72</v>
      </c>
      <c r="BC248" s="146">
        <f>BD248-BH248</f>
        <v>6452</v>
      </c>
      <c r="BD248" s="147">
        <f t="shared" si="97"/>
        <v>51106</v>
      </c>
      <c r="BE248" s="147">
        <f t="shared" si="97"/>
        <v>54396</v>
      </c>
      <c r="BF248" s="147">
        <f t="shared" si="97"/>
        <v>45888</v>
      </c>
      <c r="BG248" s="147">
        <f t="shared" si="98"/>
        <v>42400</v>
      </c>
      <c r="BH248" s="147">
        <f t="shared" si="98"/>
        <v>44654</v>
      </c>
      <c r="BI248" s="53">
        <f>AVERAGE(BD248:BH248)</f>
        <v>47688.8</v>
      </c>
    </row>
    <row r="249" spans="8:61" ht="12">
      <c r="H249" s="74" t="s">
        <v>93</v>
      </c>
      <c r="I249" s="74"/>
      <c r="J249" s="74"/>
      <c r="K249" s="79">
        <f>4202+K248</f>
        <v>6107</v>
      </c>
      <c r="L249" s="79">
        <f>4543+L248</f>
        <v>6026</v>
      </c>
      <c r="M249" s="79">
        <f>4356+M248</f>
        <v>5663</v>
      </c>
      <c r="N249" s="79">
        <f>1642+N248</f>
        <v>2318</v>
      </c>
      <c r="O249" s="79"/>
      <c r="P249" s="80">
        <f>AVERAGE(K249:O249)</f>
        <v>5028.5</v>
      </c>
      <c r="Q249" s="25" t="s">
        <v>35</v>
      </c>
      <c r="S249" s="132">
        <f>T249-X249</f>
        <v>-124</v>
      </c>
      <c r="T249" s="42">
        <f>29024-T250</f>
        <v>13566</v>
      </c>
      <c r="U249" s="42">
        <f>29989-U250</f>
        <v>14843</v>
      </c>
      <c r="V249" s="42">
        <v>13636</v>
      </c>
      <c r="W249" s="42">
        <f>25525-W250</f>
        <v>13543</v>
      </c>
      <c r="X249" s="42">
        <f>23971-X250</f>
        <v>13690</v>
      </c>
      <c r="Y249" s="53">
        <f>AVERAGE(T249:X249)</f>
        <v>13855.6</v>
      </c>
      <c r="Z249" s="25" t="s">
        <v>35</v>
      </c>
      <c r="AB249" s="132">
        <f>AC249-AG249</f>
        <v>906</v>
      </c>
      <c r="AC249" s="42">
        <v>1192</v>
      </c>
      <c r="AD249" s="42">
        <v>733</v>
      </c>
      <c r="AE249" s="42">
        <f>118+40+AE248</f>
        <v>566</v>
      </c>
      <c r="AF249" s="42">
        <f>49+38+AF248</f>
        <v>362</v>
      </c>
      <c r="AG249" s="42">
        <f>39+47+AG248</f>
        <v>286</v>
      </c>
      <c r="AH249" s="53">
        <f>AVERAGE(AC249:AG249)</f>
        <v>627.8</v>
      </c>
      <c r="AI249" s="25" t="s">
        <v>35</v>
      </c>
      <c r="AJ249" s="25"/>
      <c r="AK249" s="132">
        <f>AL249-AP249</f>
        <v>1812</v>
      </c>
      <c r="AL249" s="42">
        <f t="shared" si="96"/>
        <v>2384</v>
      </c>
      <c r="AM249" s="42">
        <f t="shared" si="96"/>
        <v>1466</v>
      </c>
      <c r="AN249" s="42">
        <f t="shared" si="96"/>
        <v>1132</v>
      </c>
      <c r="AO249" s="42">
        <f t="shared" si="96"/>
        <v>724</v>
      </c>
      <c r="AP249" s="42">
        <f t="shared" si="96"/>
        <v>572</v>
      </c>
      <c r="AQ249" s="53">
        <f>AVERAGE(AL249:AP249)</f>
        <v>1255.6</v>
      </c>
      <c r="AR249" s="60" t="s">
        <v>35</v>
      </c>
      <c r="AS249" s="60"/>
      <c r="AT249" s="132">
        <f>AU249-AY249</f>
        <v>-2332</v>
      </c>
      <c r="AU249" s="65">
        <v>15905</v>
      </c>
      <c r="AV249" s="65">
        <v>19628</v>
      </c>
      <c r="AW249" s="65">
        <v>17007</v>
      </c>
      <c r="AX249" s="65">
        <f>3883+AX248</f>
        <v>12354</v>
      </c>
      <c r="AY249" s="65">
        <f>3092+206+3298+2833+AY248</f>
        <v>18237</v>
      </c>
      <c r="AZ249" s="53">
        <f>AVERAGE(AU249:AY249)</f>
        <v>16626.2</v>
      </c>
      <c r="BA249" s="133" t="s">
        <v>35</v>
      </c>
      <c r="BC249" s="146">
        <f>BD249-BH249</f>
        <v>-3086</v>
      </c>
      <c r="BD249" s="147">
        <f t="shared" si="97"/>
        <v>14530</v>
      </c>
      <c r="BE249" s="147">
        <f t="shared" si="97"/>
        <v>19022</v>
      </c>
      <c r="BF249" s="147">
        <f t="shared" si="97"/>
        <v>17128</v>
      </c>
      <c r="BG249" s="147">
        <f t="shared" si="98"/>
        <v>16942</v>
      </c>
      <c r="BH249" s="147">
        <f t="shared" si="98"/>
        <v>17616</v>
      </c>
      <c r="BI249" s="53">
        <f>AVERAGE(BD249:BH249)</f>
        <v>17047.6</v>
      </c>
    </row>
    <row r="250" spans="8:61" ht="12">
      <c r="H250" s="74" t="s">
        <v>72</v>
      </c>
      <c r="I250" s="74"/>
      <c r="J250" s="74"/>
      <c r="K250" s="79">
        <v>551</v>
      </c>
      <c r="L250" s="79">
        <v>208</v>
      </c>
      <c r="M250" s="79">
        <v>980</v>
      </c>
      <c r="N250" s="79">
        <v>516</v>
      </c>
      <c r="O250" s="79"/>
      <c r="P250" s="80">
        <f>AVERAGE(K250:O250)</f>
        <v>563.75</v>
      </c>
      <c r="Q250" s="25" t="s">
        <v>100</v>
      </c>
      <c r="S250" s="132">
        <f>T250-X250</f>
        <v>5177</v>
      </c>
      <c r="T250" s="42">
        <v>15458</v>
      </c>
      <c r="U250" s="42">
        <v>15146</v>
      </c>
      <c r="V250" s="42">
        <v>14202</v>
      </c>
      <c r="W250" s="42">
        <v>11982</v>
      </c>
      <c r="X250" s="42">
        <v>10281</v>
      </c>
      <c r="Y250" s="53">
        <f>AVERAGE(T250:X250)</f>
        <v>13413.8</v>
      </c>
      <c r="Z250" s="25" t="s">
        <v>100</v>
      </c>
      <c r="AB250" s="132">
        <f>AC250-AG250</f>
        <v>211</v>
      </c>
      <c r="AC250" s="42">
        <v>619</v>
      </c>
      <c r="AD250" s="42">
        <v>548</v>
      </c>
      <c r="AE250" s="42">
        <v>472</v>
      </c>
      <c r="AF250" s="42">
        <v>456</v>
      </c>
      <c r="AG250" s="42">
        <v>408</v>
      </c>
      <c r="AH250" s="53">
        <f>AVERAGE(AC250:AG250)</f>
        <v>500.6</v>
      </c>
      <c r="AI250" s="25" t="s">
        <v>100</v>
      </c>
      <c r="AJ250" s="25"/>
      <c r="AK250" s="132">
        <f>AL250-AP250</f>
        <v>422</v>
      </c>
      <c r="AL250" s="42">
        <f t="shared" si="96"/>
        <v>1238</v>
      </c>
      <c r="AM250" s="42">
        <f t="shared" si="96"/>
        <v>1096</v>
      </c>
      <c r="AN250" s="42">
        <f t="shared" si="96"/>
        <v>944</v>
      </c>
      <c r="AO250" s="42">
        <f t="shared" si="96"/>
        <v>912</v>
      </c>
      <c r="AP250" s="42">
        <f t="shared" si="96"/>
        <v>816</v>
      </c>
      <c r="AQ250" s="53">
        <f>AVERAGE(AL250:AP250)</f>
        <v>1001.2</v>
      </c>
      <c r="AR250" s="60" t="s">
        <v>100</v>
      </c>
      <c r="AS250" s="60"/>
      <c r="AT250" s="132">
        <f>AU250-AY250</f>
        <v>2260</v>
      </c>
      <c r="AU250" s="65">
        <v>9648</v>
      </c>
      <c r="AV250" s="65">
        <v>7570</v>
      </c>
      <c r="AW250" s="65">
        <v>5937</v>
      </c>
      <c r="AX250" s="65">
        <v>5804</v>
      </c>
      <c r="AY250" s="65">
        <v>7388</v>
      </c>
      <c r="AZ250" s="53">
        <f>AVERAGE(AU250:AY250)</f>
        <v>7269.4</v>
      </c>
      <c r="BA250" s="133" t="s">
        <v>100</v>
      </c>
      <c r="BC250" s="146">
        <f>BD250-BH250</f>
        <v>-4664</v>
      </c>
      <c r="BD250" s="147">
        <f t="shared" si="97"/>
        <v>31810</v>
      </c>
      <c r="BE250" s="147">
        <f t="shared" si="97"/>
        <v>39256</v>
      </c>
      <c r="BF250" s="147">
        <f t="shared" si="97"/>
        <v>34014</v>
      </c>
      <c r="BG250" s="147">
        <f t="shared" si="98"/>
        <v>24708</v>
      </c>
      <c r="BH250" s="147">
        <f t="shared" si="98"/>
        <v>36474</v>
      </c>
      <c r="BI250" s="53">
        <f>AVERAGE(BD250:BH250)</f>
        <v>33252.4</v>
      </c>
    </row>
    <row r="251" spans="8:61" ht="12">
      <c r="H251" s="74" t="s">
        <v>35</v>
      </c>
      <c r="I251" s="74"/>
      <c r="J251" s="74"/>
      <c r="K251" s="79">
        <f>1590+K250</f>
        <v>2141</v>
      </c>
      <c r="L251" s="79">
        <f>1446+L250</f>
        <v>1654</v>
      </c>
      <c r="M251" s="79">
        <f>1574+M250</f>
        <v>2554</v>
      </c>
      <c r="N251" s="79">
        <f>99+N250</f>
        <v>615</v>
      </c>
      <c r="O251" s="79"/>
      <c r="P251" s="80">
        <f>AVERAGE(K251:O251)</f>
        <v>1741</v>
      </c>
      <c r="Q251" s="22"/>
      <c r="R251" s="22"/>
      <c r="S251" s="22"/>
      <c r="T251" s="42"/>
      <c r="U251" s="42"/>
      <c r="V251" s="42"/>
      <c r="W251" s="42"/>
      <c r="X251" s="42"/>
      <c r="Y251" s="53"/>
      <c r="Z251" s="22"/>
      <c r="AA251" s="22"/>
      <c r="AB251" s="22"/>
      <c r="AC251" s="42"/>
      <c r="AD251" s="42"/>
      <c r="AE251" s="42"/>
      <c r="AF251" s="42"/>
      <c r="AG251" s="42"/>
      <c r="AH251" s="53"/>
      <c r="AI251" s="22"/>
      <c r="AJ251" s="22"/>
      <c r="AK251" s="22"/>
      <c r="AL251" s="42"/>
      <c r="AM251" s="42"/>
      <c r="AN251" s="42"/>
      <c r="AO251" s="42"/>
      <c r="AP251" s="42"/>
      <c r="AQ251" s="53"/>
      <c r="AR251" s="64"/>
      <c r="AS251" s="64"/>
      <c r="AT251" s="64"/>
      <c r="AU251" s="65"/>
      <c r="AV251" s="65"/>
      <c r="AW251" s="65"/>
      <c r="AX251" s="65"/>
      <c r="AY251" s="65"/>
      <c r="AZ251" s="53"/>
      <c r="BA251" s="139"/>
      <c r="BB251" s="139"/>
      <c r="BC251" s="146">
        <f>BD251-BH251</f>
        <v>4520</v>
      </c>
      <c r="BD251" s="147">
        <f t="shared" si="97"/>
        <v>19296</v>
      </c>
      <c r="BE251" s="147">
        <f t="shared" si="97"/>
        <v>15140</v>
      </c>
      <c r="BF251" s="147">
        <f t="shared" si="97"/>
        <v>11874</v>
      </c>
      <c r="BG251" s="147">
        <f t="shared" si="98"/>
        <v>11608</v>
      </c>
      <c r="BH251" s="147">
        <f t="shared" si="98"/>
        <v>14776</v>
      </c>
      <c r="BI251" s="53">
        <f>AVERAGE(BD251:BH251)</f>
        <v>14538.8</v>
      </c>
    </row>
    <row r="252" spans="8:61" ht="12">
      <c r="H252" s="74" t="s">
        <v>100</v>
      </c>
      <c r="I252" s="74"/>
      <c r="J252" s="74"/>
      <c r="K252" s="79">
        <v>3163</v>
      </c>
      <c r="L252" s="79">
        <v>3305</v>
      </c>
      <c r="M252" s="79">
        <v>3109</v>
      </c>
      <c r="N252" s="79"/>
      <c r="O252" s="79"/>
      <c r="P252" s="80">
        <f>AVERAGE(K252:O252)</f>
        <v>3192.3333333333335</v>
      </c>
      <c r="Q252" s="25" t="s">
        <v>73</v>
      </c>
      <c r="S252" s="132">
        <f aca="true" t="shared" si="99" ref="S252:S257">T252-X252</f>
        <v>6180</v>
      </c>
      <c r="T252" s="42">
        <v>21586</v>
      </c>
      <c r="U252" s="42">
        <v>19833</v>
      </c>
      <c r="V252" s="42">
        <v>18594</v>
      </c>
      <c r="W252" s="42">
        <v>17141</v>
      </c>
      <c r="X252" s="42">
        <v>15406</v>
      </c>
      <c r="Y252" s="53">
        <f aca="true" t="shared" si="100" ref="Y252:Y257">AVERAGE(T252:X252)</f>
        <v>18512</v>
      </c>
      <c r="Z252" s="25" t="s">
        <v>73</v>
      </c>
      <c r="AB252" s="132">
        <f aca="true" t="shared" si="101" ref="AB252:AB257">AC252-AG252</f>
        <v>1893</v>
      </c>
      <c r="AC252" s="42">
        <v>3046</v>
      </c>
      <c r="AD252" s="42">
        <v>2355</v>
      </c>
      <c r="AE252" s="42">
        <v>1849</v>
      </c>
      <c r="AF252" s="42">
        <v>1842</v>
      </c>
      <c r="AG252" s="42">
        <v>1153</v>
      </c>
      <c r="AH252" s="53">
        <f aca="true" t="shared" si="102" ref="AH252:AH257">AVERAGE(AC252:AG252)</f>
        <v>2049</v>
      </c>
      <c r="AI252" s="25" t="s">
        <v>73</v>
      </c>
      <c r="AJ252" s="25"/>
      <c r="AK252" s="132">
        <f aca="true" t="shared" si="103" ref="AK252:AK257">AL252-AP252</f>
        <v>3786</v>
      </c>
      <c r="AL252" s="42">
        <f aca="true" t="shared" si="104" ref="AL252:AP257">2*AC252</f>
        <v>6092</v>
      </c>
      <c r="AM252" s="42">
        <f t="shared" si="104"/>
        <v>4710</v>
      </c>
      <c r="AN252" s="42">
        <f t="shared" si="104"/>
        <v>3698</v>
      </c>
      <c r="AO252" s="42">
        <f t="shared" si="104"/>
        <v>3684</v>
      </c>
      <c r="AP252" s="42">
        <f t="shared" si="104"/>
        <v>2306</v>
      </c>
      <c r="AQ252" s="53">
        <f aca="true" t="shared" si="105" ref="AQ252:AQ257">AVERAGE(AL252:AP252)</f>
        <v>4098</v>
      </c>
      <c r="AR252" s="60" t="s">
        <v>73</v>
      </c>
      <c r="AS252" s="60"/>
      <c r="AT252" s="132">
        <f aca="true" t="shared" si="106" ref="AT252:AT257">AU252-AY252</f>
        <v>2013</v>
      </c>
      <c r="AU252" s="65">
        <v>23225</v>
      </c>
      <c r="AV252" s="65">
        <v>21660</v>
      </c>
      <c r="AW252" s="65">
        <v>19986</v>
      </c>
      <c r="AX252" s="65">
        <v>21070</v>
      </c>
      <c r="AY252" s="65">
        <v>21212</v>
      </c>
      <c r="AZ252" s="53">
        <f aca="true" t="shared" si="107" ref="AZ252:AZ257">AVERAGE(AU252:AY252)</f>
        <v>21430.6</v>
      </c>
      <c r="BC252" s="139"/>
      <c r="BD252" s="147"/>
      <c r="BE252" s="147"/>
      <c r="BF252" s="147"/>
      <c r="BG252" s="147"/>
      <c r="BH252" s="147"/>
      <c r="BI252" s="53"/>
    </row>
    <row r="253" spans="8:61" ht="12">
      <c r="H253" s="78"/>
      <c r="I253" s="78"/>
      <c r="J253" s="78"/>
      <c r="K253" s="79"/>
      <c r="L253" s="79"/>
      <c r="M253" s="79"/>
      <c r="N253" s="79"/>
      <c r="O253" s="79"/>
      <c r="P253" s="80"/>
      <c r="Q253" s="25" t="s">
        <v>74</v>
      </c>
      <c r="S253" s="132">
        <f t="shared" si="99"/>
        <v>3848</v>
      </c>
      <c r="T253" s="42">
        <v>17141</v>
      </c>
      <c r="U253" s="42">
        <v>15840</v>
      </c>
      <c r="V253" s="42">
        <v>15056</v>
      </c>
      <c r="W253" s="42">
        <v>14308</v>
      </c>
      <c r="X253" s="42">
        <v>13293</v>
      </c>
      <c r="Y253" s="53">
        <f t="shared" si="100"/>
        <v>15127.6</v>
      </c>
      <c r="Z253" s="25" t="s">
        <v>74</v>
      </c>
      <c r="AB253" s="132">
        <f t="shared" si="101"/>
        <v>1229</v>
      </c>
      <c r="AC253" s="42">
        <v>2063</v>
      </c>
      <c r="AD253" s="42">
        <v>1631</v>
      </c>
      <c r="AE253" s="42">
        <v>1303</v>
      </c>
      <c r="AF253" s="42">
        <v>1454</v>
      </c>
      <c r="AG253" s="42">
        <v>834</v>
      </c>
      <c r="AH253" s="53">
        <f t="shared" si="102"/>
        <v>1457</v>
      </c>
      <c r="AI253" s="25" t="s">
        <v>74</v>
      </c>
      <c r="AJ253" s="25"/>
      <c r="AK253" s="132">
        <f t="shared" si="103"/>
        <v>2458</v>
      </c>
      <c r="AL253" s="42">
        <f t="shared" si="104"/>
        <v>4126</v>
      </c>
      <c r="AM253" s="42">
        <f t="shared" si="104"/>
        <v>3262</v>
      </c>
      <c r="AN253" s="42">
        <f t="shared" si="104"/>
        <v>2606</v>
      </c>
      <c r="AO253" s="42">
        <f t="shared" si="104"/>
        <v>2908</v>
      </c>
      <c r="AP253" s="42">
        <f t="shared" si="104"/>
        <v>1668</v>
      </c>
      <c r="AQ253" s="53">
        <f t="shared" si="105"/>
        <v>2914</v>
      </c>
      <c r="AR253" s="60" t="s">
        <v>74</v>
      </c>
      <c r="AS253" s="60"/>
      <c r="AT253" s="132">
        <f t="shared" si="106"/>
        <v>401</v>
      </c>
      <c r="AU253" s="65">
        <v>5010</v>
      </c>
      <c r="AV253" s="65">
        <v>4764</v>
      </c>
      <c r="AW253" s="65">
        <v>4360</v>
      </c>
      <c r="AX253" s="65">
        <v>4577</v>
      </c>
      <c r="AY253" s="65">
        <v>4609</v>
      </c>
      <c r="AZ253" s="53">
        <f t="shared" si="107"/>
        <v>4664</v>
      </c>
      <c r="BA253" s="133" t="s">
        <v>73</v>
      </c>
      <c r="BC253" s="146">
        <f aca="true" t="shared" si="108" ref="BC253:BC258">BD253-BH253</f>
        <v>4026</v>
      </c>
      <c r="BD253" s="147">
        <f aca="true" t="shared" si="109" ref="BD253:BF258">2*AU252</f>
        <v>46450</v>
      </c>
      <c r="BE253" s="147">
        <f t="shared" si="109"/>
        <v>43320</v>
      </c>
      <c r="BF253" s="147">
        <f t="shared" si="109"/>
        <v>39972</v>
      </c>
      <c r="BG253" s="147">
        <f aca="true" t="shared" si="110" ref="BG253:BG258">2*AX252</f>
        <v>42140</v>
      </c>
      <c r="BH253" s="147">
        <f aca="true" t="shared" si="111" ref="BH253:BH258">2*AY252</f>
        <v>42424</v>
      </c>
      <c r="BI253" s="53">
        <f aca="true" t="shared" si="112" ref="BI253:BI258">AVERAGE(BD253:BH253)</f>
        <v>42861.2</v>
      </c>
    </row>
    <row r="254" spans="8:61" ht="12">
      <c r="H254" s="74" t="s">
        <v>73</v>
      </c>
      <c r="I254" s="74"/>
      <c r="J254" s="74"/>
      <c r="K254" s="79">
        <v>2181</v>
      </c>
      <c r="L254" s="79">
        <v>2196</v>
      </c>
      <c r="M254" s="79">
        <v>2053</v>
      </c>
      <c r="N254" s="79">
        <v>1753</v>
      </c>
      <c r="O254" s="79"/>
      <c r="P254" s="80">
        <f aca="true" t="shared" si="113" ref="P254:P259">AVERAGE(K254:O254)</f>
        <v>2045.75</v>
      </c>
      <c r="Q254" s="25" t="s">
        <v>116</v>
      </c>
      <c r="S254" s="132">
        <f t="shared" si="99"/>
        <v>2332</v>
      </c>
      <c r="T254" s="42">
        <f>T252-T253</f>
        <v>4445</v>
      </c>
      <c r="U254" s="42">
        <f>U252-U253</f>
        <v>3993</v>
      </c>
      <c r="V254" s="42">
        <f>V252-V253</f>
        <v>3538</v>
      </c>
      <c r="W254" s="42">
        <f>W252-W253</f>
        <v>2833</v>
      </c>
      <c r="X254" s="42">
        <f>X252-X253</f>
        <v>2113</v>
      </c>
      <c r="Y254" s="53">
        <f t="shared" si="100"/>
        <v>3384.4</v>
      </c>
      <c r="Z254" s="25" t="s">
        <v>116</v>
      </c>
      <c r="AB254" s="132">
        <f t="shared" si="101"/>
        <v>664</v>
      </c>
      <c r="AC254" s="42">
        <f>AC252-AC253</f>
        <v>983</v>
      </c>
      <c r="AD254" s="42">
        <f>AD252-AD253</f>
        <v>724</v>
      </c>
      <c r="AE254" s="42">
        <f>AE252-AE253</f>
        <v>546</v>
      </c>
      <c r="AF254" s="42">
        <f>AF252-AF253</f>
        <v>388</v>
      </c>
      <c r="AG254" s="42">
        <f>AG252-AG253</f>
        <v>319</v>
      </c>
      <c r="AH254" s="53">
        <f t="shared" si="102"/>
        <v>592</v>
      </c>
      <c r="AI254" s="25" t="s">
        <v>116</v>
      </c>
      <c r="AJ254" s="25"/>
      <c r="AK254" s="132">
        <f t="shared" si="103"/>
        <v>1328</v>
      </c>
      <c r="AL254" s="42">
        <f t="shared" si="104"/>
        <v>1966</v>
      </c>
      <c r="AM254" s="42">
        <f t="shared" si="104"/>
        <v>1448</v>
      </c>
      <c r="AN254" s="42">
        <f t="shared" si="104"/>
        <v>1092</v>
      </c>
      <c r="AO254" s="42">
        <f t="shared" si="104"/>
        <v>776</v>
      </c>
      <c r="AP254" s="42">
        <f t="shared" si="104"/>
        <v>638</v>
      </c>
      <c r="AQ254" s="53">
        <f t="shared" si="105"/>
        <v>1184</v>
      </c>
      <c r="AR254" s="60" t="s">
        <v>116</v>
      </c>
      <c r="AS254" s="60"/>
      <c r="AT254" s="132">
        <f t="shared" si="106"/>
        <v>1612</v>
      </c>
      <c r="AU254" s="65">
        <f>AU252-AU253</f>
        <v>18215</v>
      </c>
      <c r="AV254" s="65">
        <f>AV252-AV253</f>
        <v>16896</v>
      </c>
      <c r="AW254" s="65">
        <f>AW252-AW253</f>
        <v>15626</v>
      </c>
      <c r="AX254" s="65">
        <f>AX252-AX253</f>
        <v>16493</v>
      </c>
      <c r="AY254" s="65">
        <f>AY252-AY253</f>
        <v>16603</v>
      </c>
      <c r="AZ254" s="53">
        <f t="shared" si="107"/>
        <v>16766.6</v>
      </c>
      <c r="BA254" s="133" t="s">
        <v>74</v>
      </c>
      <c r="BC254" s="146">
        <f t="shared" si="108"/>
        <v>802</v>
      </c>
      <c r="BD254" s="147">
        <f t="shared" si="109"/>
        <v>10020</v>
      </c>
      <c r="BE254" s="147">
        <f t="shared" si="109"/>
        <v>9528</v>
      </c>
      <c r="BF254" s="147">
        <f t="shared" si="109"/>
        <v>8720</v>
      </c>
      <c r="BG254" s="147">
        <f t="shared" si="110"/>
        <v>9154</v>
      </c>
      <c r="BH254" s="147">
        <f t="shared" si="111"/>
        <v>9218</v>
      </c>
      <c r="BI254" s="53">
        <f t="shared" si="112"/>
        <v>9328</v>
      </c>
    </row>
    <row r="255" spans="8:61" ht="12">
      <c r="H255" s="74" t="s">
        <v>74</v>
      </c>
      <c r="I255" s="74"/>
      <c r="J255" s="74"/>
      <c r="K255" s="79">
        <v>1917</v>
      </c>
      <c r="L255" s="79">
        <v>1867</v>
      </c>
      <c r="M255" s="79">
        <v>1910</v>
      </c>
      <c r="N255" s="79">
        <v>1617</v>
      </c>
      <c r="O255" s="79"/>
      <c r="P255" s="80">
        <f t="shared" si="113"/>
        <v>1827.75</v>
      </c>
      <c r="Q255" s="25" t="s">
        <v>82</v>
      </c>
      <c r="S255" s="132">
        <f t="shared" si="99"/>
        <v>70</v>
      </c>
      <c r="T255" s="42">
        <v>430</v>
      </c>
      <c r="U255" s="42">
        <v>390</v>
      </c>
      <c r="V255" s="42">
        <v>370</v>
      </c>
      <c r="W255" s="42">
        <v>427</v>
      </c>
      <c r="X255" s="42">
        <v>360</v>
      </c>
      <c r="Y255" s="53">
        <f t="shared" si="100"/>
        <v>395.4</v>
      </c>
      <c r="Z255" s="25" t="s">
        <v>82</v>
      </c>
      <c r="AB255" s="132">
        <f t="shared" si="101"/>
        <v>14.5</v>
      </c>
      <c r="AC255" s="42">
        <v>14</v>
      </c>
      <c r="AD255" s="42">
        <v>11</v>
      </c>
      <c r="AE255" s="42">
        <v>5</v>
      </c>
      <c r="AF255" s="42">
        <v>1</v>
      </c>
      <c r="AG255" s="42">
        <v>-0.5</v>
      </c>
      <c r="AH255" s="53">
        <f t="shared" si="102"/>
        <v>6.1</v>
      </c>
      <c r="AI255" s="25" t="s">
        <v>82</v>
      </c>
      <c r="AJ255" s="25"/>
      <c r="AK255" s="132">
        <f t="shared" si="103"/>
        <v>29</v>
      </c>
      <c r="AL255" s="42">
        <f t="shared" si="104"/>
        <v>28</v>
      </c>
      <c r="AM255" s="42">
        <f t="shared" si="104"/>
        <v>22</v>
      </c>
      <c r="AN255" s="42">
        <f t="shared" si="104"/>
        <v>10</v>
      </c>
      <c r="AO255" s="42">
        <f t="shared" si="104"/>
        <v>2</v>
      </c>
      <c r="AP255" s="42">
        <f t="shared" si="104"/>
        <v>-1</v>
      </c>
      <c r="AQ255" s="53">
        <f t="shared" si="105"/>
        <v>12.2</v>
      </c>
      <c r="AR255" s="60" t="s">
        <v>82</v>
      </c>
      <c r="AS255" s="60"/>
      <c r="AT255" s="132">
        <f t="shared" si="106"/>
        <v>199</v>
      </c>
      <c r="AU255" s="65">
        <v>414</v>
      </c>
      <c r="AV255" s="65">
        <v>381</v>
      </c>
      <c r="AW255" s="65">
        <v>350</v>
      </c>
      <c r="AX255" s="65">
        <v>236</v>
      </c>
      <c r="AY255" s="65">
        <v>215</v>
      </c>
      <c r="AZ255" s="53">
        <f t="shared" si="107"/>
        <v>319.2</v>
      </c>
      <c r="BA255" s="133" t="s">
        <v>116</v>
      </c>
      <c r="BC255" s="146">
        <f t="shared" si="108"/>
        <v>3224</v>
      </c>
      <c r="BD255" s="147">
        <f t="shared" si="109"/>
        <v>36430</v>
      </c>
      <c r="BE255" s="147">
        <f t="shared" si="109"/>
        <v>33792</v>
      </c>
      <c r="BF255" s="147">
        <f t="shared" si="109"/>
        <v>31252</v>
      </c>
      <c r="BG255" s="147">
        <f t="shared" si="110"/>
        <v>32986</v>
      </c>
      <c r="BH255" s="147">
        <f t="shared" si="111"/>
        <v>33206</v>
      </c>
      <c r="BI255" s="53">
        <f t="shared" si="112"/>
        <v>33533.2</v>
      </c>
    </row>
    <row r="256" spans="8:61" ht="12">
      <c r="H256" s="74" t="s">
        <v>116</v>
      </c>
      <c r="I256" s="74"/>
      <c r="J256" s="74"/>
      <c r="K256" s="79">
        <f>K254-K255</f>
        <v>264</v>
      </c>
      <c r="L256" s="79">
        <f>L254-L255</f>
        <v>329</v>
      </c>
      <c r="M256" s="79">
        <f>M254-M255</f>
        <v>143</v>
      </c>
      <c r="N256" s="79">
        <f>N254-N255</f>
        <v>136</v>
      </c>
      <c r="O256" s="79">
        <f>O254-O255</f>
        <v>0</v>
      </c>
      <c r="P256" s="80">
        <f t="shared" si="113"/>
        <v>174.4</v>
      </c>
      <c r="Q256" s="25" t="s">
        <v>83</v>
      </c>
      <c r="S256" s="132">
        <f t="shared" si="99"/>
        <v>957</v>
      </c>
      <c r="T256" s="42">
        <v>1529</v>
      </c>
      <c r="U256" s="42">
        <v>795</v>
      </c>
      <c r="V256" s="42">
        <v>1018</v>
      </c>
      <c r="W256" s="42">
        <v>609</v>
      </c>
      <c r="X256" s="42">
        <v>572</v>
      </c>
      <c r="Y256" s="53">
        <f t="shared" si="100"/>
        <v>904.6</v>
      </c>
      <c r="Z256" s="25" t="s">
        <v>83</v>
      </c>
      <c r="AB256" s="132">
        <f t="shared" si="101"/>
        <v>8</v>
      </c>
      <c r="AC256" s="42">
        <v>14</v>
      </c>
      <c r="AD256" s="42">
        <v>12</v>
      </c>
      <c r="AE256" s="42">
        <v>17</v>
      </c>
      <c r="AF256" s="42">
        <v>12</v>
      </c>
      <c r="AG256" s="42">
        <v>6</v>
      </c>
      <c r="AH256" s="53">
        <f t="shared" si="102"/>
        <v>12.2</v>
      </c>
      <c r="AI256" s="25" t="s">
        <v>83</v>
      </c>
      <c r="AJ256" s="25"/>
      <c r="AK256" s="132">
        <f t="shared" si="103"/>
        <v>16</v>
      </c>
      <c r="AL256" s="42">
        <f t="shared" si="104"/>
        <v>28</v>
      </c>
      <c r="AM256" s="42">
        <f t="shared" si="104"/>
        <v>24</v>
      </c>
      <c r="AN256" s="42">
        <f t="shared" si="104"/>
        <v>34</v>
      </c>
      <c r="AO256" s="42">
        <f t="shared" si="104"/>
        <v>24</v>
      </c>
      <c r="AP256" s="42">
        <f t="shared" si="104"/>
        <v>12</v>
      </c>
      <c r="AQ256" s="53">
        <f t="shared" si="105"/>
        <v>24.4</v>
      </c>
      <c r="AR256" s="60" t="s">
        <v>83</v>
      </c>
      <c r="AS256" s="60"/>
      <c r="AT256" s="132">
        <f t="shared" si="106"/>
        <v>2213</v>
      </c>
      <c r="AU256" s="65">
        <v>3846</v>
      </c>
      <c r="AV256" s="65">
        <v>1707</v>
      </c>
      <c r="AW256" s="65">
        <v>1583</v>
      </c>
      <c r="AX256" s="65">
        <v>1917</v>
      </c>
      <c r="AY256" s="65">
        <v>1633</v>
      </c>
      <c r="AZ256" s="53">
        <f t="shared" si="107"/>
        <v>2137.2</v>
      </c>
      <c r="BA256" s="133" t="s">
        <v>82</v>
      </c>
      <c r="BC256" s="146">
        <f t="shared" si="108"/>
        <v>398</v>
      </c>
      <c r="BD256" s="147">
        <f t="shared" si="109"/>
        <v>828</v>
      </c>
      <c r="BE256" s="147">
        <f t="shared" si="109"/>
        <v>762</v>
      </c>
      <c r="BF256" s="147">
        <f t="shared" si="109"/>
        <v>700</v>
      </c>
      <c r="BG256" s="147">
        <f t="shared" si="110"/>
        <v>472</v>
      </c>
      <c r="BH256" s="147">
        <f t="shared" si="111"/>
        <v>430</v>
      </c>
      <c r="BI256" s="53">
        <f t="shared" si="112"/>
        <v>638.4</v>
      </c>
    </row>
    <row r="257" spans="8:61" ht="12">
      <c r="H257" s="74" t="s">
        <v>82</v>
      </c>
      <c r="I257" s="74"/>
      <c r="J257" s="74"/>
      <c r="K257" s="79">
        <v>69</v>
      </c>
      <c r="L257" s="79">
        <v>46</v>
      </c>
      <c r="M257" s="79">
        <v>47</v>
      </c>
      <c r="N257" s="79">
        <v>28</v>
      </c>
      <c r="O257" s="79"/>
      <c r="P257" s="80">
        <f t="shared" si="113"/>
        <v>47.5</v>
      </c>
      <c r="Q257" s="25" t="s">
        <v>98</v>
      </c>
      <c r="S257" s="132">
        <f t="shared" si="99"/>
        <v>2650</v>
      </c>
      <c r="T257" s="42">
        <v>3544</v>
      </c>
      <c r="U257" s="42">
        <v>2602</v>
      </c>
      <c r="V257" s="42">
        <v>2279</v>
      </c>
      <c r="W257" s="42">
        <v>1471</v>
      </c>
      <c r="X257" s="42">
        <v>894</v>
      </c>
      <c r="Y257" s="53">
        <f t="shared" si="100"/>
        <v>2158</v>
      </c>
      <c r="Z257" s="25" t="s">
        <v>98</v>
      </c>
      <c r="AB257" s="132">
        <f t="shared" si="101"/>
        <v>100</v>
      </c>
      <c r="AC257" s="42">
        <v>71</v>
      </c>
      <c r="AD257" s="42">
        <v>74</v>
      </c>
      <c r="AE257" s="42">
        <v>28</v>
      </c>
      <c r="AF257" s="42">
        <v>22</v>
      </c>
      <c r="AG257" s="42">
        <v>-29</v>
      </c>
      <c r="AH257" s="53">
        <f t="shared" si="102"/>
        <v>33.2</v>
      </c>
      <c r="AI257" s="25" t="s">
        <v>98</v>
      </c>
      <c r="AJ257" s="25"/>
      <c r="AK257" s="132">
        <f t="shared" si="103"/>
        <v>200</v>
      </c>
      <c r="AL257" s="42">
        <f t="shared" si="104"/>
        <v>142</v>
      </c>
      <c r="AM257" s="42">
        <f t="shared" si="104"/>
        <v>148</v>
      </c>
      <c r="AN257" s="42">
        <f t="shared" si="104"/>
        <v>56</v>
      </c>
      <c r="AO257" s="42">
        <f t="shared" si="104"/>
        <v>44</v>
      </c>
      <c r="AP257" s="42">
        <f t="shared" si="104"/>
        <v>-58</v>
      </c>
      <c r="AQ257" s="53">
        <f t="shared" si="105"/>
        <v>66.4</v>
      </c>
      <c r="AR257" s="60" t="s">
        <v>98</v>
      </c>
      <c r="AS257" s="60"/>
      <c r="AT257" s="132">
        <f t="shared" si="106"/>
        <v>1453</v>
      </c>
      <c r="AU257" s="65">
        <v>5498</v>
      </c>
      <c r="AV257" s="65">
        <v>4816</v>
      </c>
      <c r="AW257" s="65">
        <v>4022</v>
      </c>
      <c r="AX257" s="65">
        <v>4308</v>
      </c>
      <c r="AY257" s="65">
        <v>4045</v>
      </c>
      <c r="AZ257" s="53">
        <f t="shared" si="107"/>
        <v>4537.8</v>
      </c>
      <c r="BA257" s="133" t="s">
        <v>83</v>
      </c>
      <c r="BC257" s="146">
        <f t="shared" si="108"/>
        <v>4426</v>
      </c>
      <c r="BD257" s="147">
        <f t="shared" si="109"/>
        <v>7692</v>
      </c>
      <c r="BE257" s="147">
        <f t="shared" si="109"/>
        <v>3414</v>
      </c>
      <c r="BF257" s="147">
        <f t="shared" si="109"/>
        <v>3166</v>
      </c>
      <c r="BG257" s="147">
        <f t="shared" si="110"/>
        <v>3834</v>
      </c>
      <c r="BH257" s="147">
        <f t="shared" si="111"/>
        <v>3266</v>
      </c>
      <c r="BI257" s="53">
        <f t="shared" si="112"/>
        <v>4274.4</v>
      </c>
    </row>
    <row r="258" spans="8:61" ht="12">
      <c r="H258" s="74" t="s">
        <v>83</v>
      </c>
      <c r="I258" s="74"/>
      <c r="J258" s="74"/>
      <c r="K258" s="79">
        <v>66</v>
      </c>
      <c r="L258" s="79">
        <v>85</v>
      </c>
      <c r="M258" s="79">
        <v>25</v>
      </c>
      <c r="N258" s="79">
        <v>37</v>
      </c>
      <c r="O258" s="79"/>
      <c r="P258" s="80">
        <f t="shared" si="113"/>
        <v>53.25</v>
      </c>
      <c r="Q258" s="22"/>
      <c r="R258" s="22"/>
      <c r="S258" s="22"/>
      <c r="T258" s="42"/>
      <c r="U258" s="42"/>
      <c r="V258" s="42"/>
      <c r="W258" s="42"/>
      <c r="X258" s="42"/>
      <c r="Y258" s="53"/>
      <c r="Z258" s="22"/>
      <c r="AA258" s="22"/>
      <c r="AB258" s="22"/>
      <c r="AC258" s="42"/>
      <c r="AD258" s="42"/>
      <c r="AE258" s="42"/>
      <c r="AF258" s="42"/>
      <c r="AG258" s="42"/>
      <c r="AH258" s="53"/>
      <c r="AI258" s="22"/>
      <c r="AJ258" s="22"/>
      <c r="AK258" s="22"/>
      <c r="AL258" s="42"/>
      <c r="AM258" s="42"/>
      <c r="AN258" s="42"/>
      <c r="AO258" s="42"/>
      <c r="AP258" s="42"/>
      <c r="AQ258" s="53"/>
      <c r="AR258" s="64"/>
      <c r="AS258" s="64"/>
      <c r="AT258" s="64"/>
      <c r="AU258" s="65"/>
      <c r="AV258" s="65"/>
      <c r="AW258" s="65"/>
      <c r="AX258" s="65"/>
      <c r="AY258" s="65"/>
      <c r="AZ258" s="53"/>
      <c r="BA258" s="133" t="s">
        <v>98</v>
      </c>
      <c r="BB258" s="139"/>
      <c r="BC258" s="146">
        <f t="shared" si="108"/>
        <v>2906</v>
      </c>
      <c r="BD258" s="147">
        <f t="shared" si="109"/>
        <v>10996</v>
      </c>
      <c r="BE258" s="147">
        <f t="shared" si="109"/>
        <v>9632</v>
      </c>
      <c r="BF258" s="147">
        <f t="shared" si="109"/>
        <v>8044</v>
      </c>
      <c r="BG258" s="147">
        <f t="shared" si="110"/>
        <v>8616</v>
      </c>
      <c r="BH258" s="147">
        <f t="shared" si="111"/>
        <v>8090</v>
      </c>
      <c r="BI258" s="53">
        <f t="shared" si="112"/>
        <v>9075.6</v>
      </c>
    </row>
    <row r="259" spans="8:61" ht="12">
      <c r="H259" s="74" t="s">
        <v>98</v>
      </c>
      <c r="I259" s="74"/>
      <c r="J259" s="74"/>
      <c r="K259" s="79">
        <v>222</v>
      </c>
      <c r="L259" s="79">
        <v>226</v>
      </c>
      <c r="M259" s="79">
        <v>143</v>
      </c>
      <c r="N259" s="79">
        <v>-7</v>
      </c>
      <c r="O259" s="79"/>
      <c r="P259" s="80">
        <f t="shared" si="113"/>
        <v>146</v>
      </c>
      <c r="Q259" s="25" t="s">
        <v>60</v>
      </c>
      <c r="S259" s="28" t="s">
        <v>17</v>
      </c>
      <c r="T259" s="28" t="s">
        <v>38</v>
      </c>
      <c r="U259" s="28" t="s">
        <v>38</v>
      </c>
      <c r="V259" s="28" t="s">
        <v>38</v>
      </c>
      <c r="W259" s="28" t="s">
        <v>38</v>
      </c>
      <c r="X259" s="28" t="s">
        <v>38</v>
      </c>
      <c r="Y259" s="143" t="s">
        <v>38</v>
      </c>
      <c r="AH259" s="137"/>
      <c r="AI259" s="25" t="s">
        <v>60</v>
      </c>
      <c r="AJ259" s="25"/>
      <c r="AK259" s="28" t="s">
        <v>17</v>
      </c>
      <c r="AL259" s="28" t="s">
        <v>38</v>
      </c>
      <c r="AM259" s="28" t="s">
        <v>38</v>
      </c>
      <c r="AN259" s="28" t="s">
        <v>38</v>
      </c>
      <c r="AO259" s="28" t="s">
        <v>38</v>
      </c>
      <c r="AP259" s="28" t="s">
        <v>38</v>
      </c>
      <c r="AQ259" s="143" t="s">
        <v>38</v>
      </c>
      <c r="AR259" s="60"/>
      <c r="AS259" s="60"/>
      <c r="AT259" s="60"/>
      <c r="AU259" s="60"/>
      <c r="AV259" s="60"/>
      <c r="AW259" s="60"/>
      <c r="AX259" s="60"/>
      <c r="AY259" s="60"/>
      <c r="AZ259" s="137"/>
      <c r="BC259" s="139"/>
      <c r="BD259" s="147"/>
      <c r="BE259" s="147"/>
      <c r="BF259" s="147"/>
      <c r="BG259" s="147"/>
      <c r="BH259" s="147"/>
      <c r="BI259" s="53"/>
    </row>
    <row r="260" spans="8:61" ht="12">
      <c r="H260" s="78"/>
      <c r="I260" s="78"/>
      <c r="J260" s="78"/>
      <c r="K260" s="79"/>
      <c r="L260" s="79"/>
      <c r="M260" s="79"/>
      <c r="N260" s="79"/>
      <c r="O260" s="79"/>
      <c r="P260" s="80"/>
      <c r="R260" s="25" t="s">
        <v>61</v>
      </c>
      <c r="S260" s="44">
        <f>T260-X260</f>
        <v>2.17</v>
      </c>
      <c r="T260" s="25">
        <v>2.87</v>
      </c>
      <c r="U260" s="25">
        <v>2.06</v>
      </c>
      <c r="V260" s="25">
        <v>1.81</v>
      </c>
      <c r="W260" s="25">
        <v>1.16</v>
      </c>
      <c r="X260" s="25">
        <v>0.7</v>
      </c>
      <c r="Y260" s="140">
        <f>AVERAGE(T260:X260)</f>
        <v>1.72</v>
      </c>
      <c r="AC260" s="42"/>
      <c r="AD260" s="42"/>
      <c r="AE260" s="42"/>
      <c r="AF260" s="42"/>
      <c r="AG260" s="42"/>
      <c r="AH260" s="53"/>
      <c r="AI260" s="25"/>
      <c r="AJ260" s="25" t="s">
        <v>61</v>
      </c>
      <c r="AK260" s="44">
        <f>AL260-AP260</f>
        <v>0.08</v>
      </c>
      <c r="AL260" s="33">
        <f aca="true" t="shared" si="114" ref="AL260:AP261">2*AC262</f>
        <v>0.16</v>
      </c>
      <c r="AM260" s="33">
        <f t="shared" si="114"/>
        <v>0.16</v>
      </c>
      <c r="AN260" s="33">
        <f t="shared" si="114"/>
        <v>0.14</v>
      </c>
      <c r="AO260" s="33">
        <f t="shared" si="114"/>
        <v>0.1</v>
      </c>
      <c r="AP260" s="33">
        <f t="shared" si="114"/>
        <v>0.08</v>
      </c>
      <c r="AQ260" s="140">
        <f>AVERAGE(AL260:AP260)</f>
        <v>0.128</v>
      </c>
      <c r="AR260" s="60"/>
      <c r="AS260" s="60"/>
      <c r="AT260" s="60"/>
      <c r="AU260" s="65"/>
      <c r="AV260" s="65"/>
      <c r="AW260" s="65"/>
      <c r="AX260" s="65"/>
      <c r="AY260" s="65"/>
      <c r="AZ260" s="53"/>
      <c r="BA260" s="133" t="s">
        <v>60</v>
      </c>
      <c r="BD260" s="147"/>
      <c r="BE260" s="147"/>
      <c r="BF260" s="147"/>
      <c r="BG260" s="147"/>
      <c r="BH260" s="147"/>
      <c r="BI260" s="53"/>
    </row>
    <row r="261" spans="8:61" ht="12">
      <c r="H261" s="74"/>
      <c r="I261" s="74"/>
      <c r="J261" s="74"/>
      <c r="K261" s="74"/>
      <c r="L261" s="74"/>
      <c r="M261" s="74"/>
      <c r="N261" s="74"/>
      <c r="O261" s="74"/>
      <c r="P261" s="75"/>
      <c r="R261" s="25" t="s">
        <v>62</v>
      </c>
      <c r="S261" s="44">
        <f>T261-X261</f>
        <v>2.13</v>
      </c>
      <c r="T261" s="25">
        <v>2.83</v>
      </c>
      <c r="U261" s="25">
        <v>2.04</v>
      </c>
      <c r="V261" s="25">
        <v>1.79</v>
      </c>
      <c r="W261" s="25">
        <v>1.15</v>
      </c>
      <c r="X261" s="25">
        <v>0.7</v>
      </c>
      <c r="Y261" s="140">
        <f>AVERAGE(T261:X261)</f>
        <v>1.702</v>
      </c>
      <c r="Z261" s="25" t="s">
        <v>60</v>
      </c>
      <c r="AB261" s="28" t="s">
        <v>17</v>
      </c>
      <c r="AC261" s="28" t="s">
        <v>68</v>
      </c>
      <c r="AD261" s="28" t="s">
        <v>68</v>
      </c>
      <c r="AE261" s="28" t="s">
        <v>68</v>
      </c>
      <c r="AF261" s="28" t="s">
        <v>68</v>
      </c>
      <c r="AG261" s="28" t="s">
        <v>68</v>
      </c>
      <c r="AH261" s="138" t="s">
        <v>68</v>
      </c>
      <c r="AI261" s="25"/>
      <c r="AJ261" s="25" t="s">
        <v>62</v>
      </c>
      <c r="AK261" s="44">
        <f>AL261-AP261</f>
        <v>0.08</v>
      </c>
      <c r="AL261" s="33">
        <f t="shared" si="114"/>
        <v>0.16</v>
      </c>
      <c r="AM261" s="33">
        <f t="shared" si="114"/>
        <v>0.16</v>
      </c>
      <c r="AN261" s="33">
        <f t="shared" si="114"/>
        <v>0.14</v>
      </c>
      <c r="AO261" s="33">
        <f t="shared" si="114"/>
        <v>0.1</v>
      </c>
      <c r="AP261" s="33">
        <f t="shared" si="114"/>
        <v>0.08</v>
      </c>
      <c r="AQ261" s="140">
        <f>AVERAGE(AL261:AP261)</f>
        <v>0.128</v>
      </c>
      <c r="AR261" s="60" t="s">
        <v>60</v>
      </c>
      <c r="AS261" s="60"/>
      <c r="AT261" s="62" t="s">
        <v>17</v>
      </c>
      <c r="AU261" s="62" t="s">
        <v>68</v>
      </c>
      <c r="AV261" s="62" t="s">
        <v>68</v>
      </c>
      <c r="AW261" s="62" t="s">
        <v>68</v>
      </c>
      <c r="AX261" s="62" t="s">
        <v>68</v>
      </c>
      <c r="AY261" s="62" t="s">
        <v>68</v>
      </c>
      <c r="AZ261" s="138" t="s">
        <v>68</v>
      </c>
      <c r="BB261" s="133" t="s">
        <v>61</v>
      </c>
      <c r="BC261" s="143" t="s">
        <v>17</v>
      </c>
      <c r="BD261" s="143" t="s">
        <v>38</v>
      </c>
      <c r="BE261" s="143" t="s">
        <v>38</v>
      </c>
      <c r="BF261" s="143" t="s">
        <v>38</v>
      </c>
      <c r="BG261" s="143" t="s">
        <v>38</v>
      </c>
      <c r="BH261" s="143" t="s">
        <v>38</v>
      </c>
      <c r="BI261" s="143" t="s">
        <v>38</v>
      </c>
    </row>
    <row r="262" spans="8:61" ht="12">
      <c r="H262" s="74"/>
      <c r="I262" s="74"/>
      <c r="J262" s="74"/>
      <c r="K262" s="79"/>
      <c r="L262" s="79"/>
      <c r="M262" s="79"/>
      <c r="N262" s="79"/>
      <c r="O262" s="79"/>
      <c r="P262" s="80"/>
      <c r="AA262" s="25" t="s">
        <v>61</v>
      </c>
      <c r="AB262" s="44">
        <f>AC262-AG262</f>
        <v>0.04</v>
      </c>
      <c r="AC262" s="25">
        <v>0.08</v>
      </c>
      <c r="AD262" s="25">
        <v>0.08</v>
      </c>
      <c r="AE262" s="25">
        <v>0.07</v>
      </c>
      <c r="AF262" s="25">
        <v>0.05</v>
      </c>
      <c r="AG262" s="25">
        <v>0.04</v>
      </c>
      <c r="AH262" s="140">
        <f>AVERAGE(AC262:AG262)</f>
        <v>0.064</v>
      </c>
      <c r="AI262" s="25"/>
      <c r="AJ262" s="25"/>
      <c r="AK262" s="25"/>
      <c r="AL262" s="25"/>
      <c r="AM262" s="25"/>
      <c r="AN262" s="25"/>
      <c r="AO262" s="25"/>
      <c r="AP262" s="25"/>
      <c r="AQ262" s="137"/>
      <c r="AR262" s="60"/>
      <c r="AS262" s="60" t="s">
        <v>61</v>
      </c>
      <c r="AT262" s="44">
        <f>AU262-AY262</f>
        <v>0.29999999999999993</v>
      </c>
      <c r="AU262" s="60">
        <v>0.96</v>
      </c>
      <c r="AV262" s="60">
        <v>0.83</v>
      </c>
      <c r="AW262" s="60">
        <v>0.68</v>
      </c>
      <c r="AX262" s="60">
        <v>0.72</v>
      </c>
      <c r="AY262" s="60">
        <v>0.66</v>
      </c>
      <c r="AZ262" s="140">
        <f>AVERAGE(AU262:AY262)</f>
        <v>0.7700000000000001</v>
      </c>
      <c r="BB262" s="133" t="s">
        <v>62</v>
      </c>
      <c r="BC262" s="148">
        <f>BD262-BH262</f>
        <v>0.5999999999999999</v>
      </c>
      <c r="BD262" s="149">
        <f aca="true" t="shared" si="115" ref="BD262:BH263">2*AU262</f>
        <v>1.92</v>
      </c>
      <c r="BE262" s="149">
        <f t="shared" si="115"/>
        <v>1.66</v>
      </c>
      <c r="BF262" s="149">
        <f t="shared" si="115"/>
        <v>1.36</v>
      </c>
      <c r="BG262" s="149">
        <f t="shared" si="115"/>
        <v>1.44</v>
      </c>
      <c r="BH262" s="149">
        <f t="shared" si="115"/>
        <v>1.32</v>
      </c>
      <c r="BI262" s="140">
        <f>AVERAGE(BD262:BH262)</f>
        <v>1.5400000000000003</v>
      </c>
    </row>
    <row r="263" spans="8:61" ht="12">
      <c r="H263" s="74" t="s">
        <v>60</v>
      </c>
      <c r="I263" s="74"/>
      <c r="J263" s="76" t="s">
        <v>17</v>
      </c>
      <c r="K263" s="76" t="s">
        <v>68</v>
      </c>
      <c r="L263" s="76" t="s">
        <v>68</v>
      </c>
      <c r="M263" s="76" t="s">
        <v>68</v>
      </c>
      <c r="N263" s="76" t="s">
        <v>68</v>
      </c>
      <c r="O263" s="76" t="s">
        <v>68</v>
      </c>
      <c r="P263" s="77" t="s">
        <v>68</v>
      </c>
      <c r="Q263" s="22" t="s">
        <v>77</v>
      </c>
      <c r="T263" s="28" t="s">
        <v>71</v>
      </c>
      <c r="U263" s="28" t="s">
        <v>71</v>
      </c>
      <c r="V263" s="28" t="s">
        <v>71</v>
      </c>
      <c r="W263" s="28" t="s">
        <v>71</v>
      </c>
      <c r="X263" s="28" t="s">
        <v>71</v>
      </c>
      <c r="Y263" s="138" t="s">
        <v>71</v>
      </c>
      <c r="AA263" s="25" t="s">
        <v>62</v>
      </c>
      <c r="AB263" s="44">
        <f>AC263-AG263</f>
        <v>0.04</v>
      </c>
      <c r="AC263" s="25">
        <v>0.08</v>
      </c>
      <c r="AD263" s="25">
        <v>0.08</v>
      </c>
      <c r="AE263" s="25">
        <v>0.07</v>
      </c>
      <c r="AF263" s="25">
        <v>0.05</v>
      </c>
      <c r="AG263" s="25">
        <v>0.04</v>
      </c>
      <c r="AH263" s="140">
        <f>AVERAGE(AC263:AG263)</f>
        <v>0.064</v>
      </c>
      <c r="AI263" s="22" t="s">
        <v>77</v>
      </c>
      <c r="AJ263" s="25"/>
      <c r="AK263" s="25"/>
      <c r="AL263" s="28" t="s">
        <v>71</v>
      </c>
      <c r="AM263" s="28" t="s">
        <v>71</v>
      </c>
      <c r="AN263" s="28" t="s">
        <v>71</v>
      </c>
      <c r="AO263" s="28" t="s">
        <v>71</v>
      </c>
      <c r="AP263" s="28" t="s">
        <v>71</v>
      </c>
      <c r="AQ263" s="138" t="s">
        <v>71</v>
      </c>
      <c r="AR263" s="60"/>
      <c r="AS263" s="60" t="s">
        <v>62</v>
      </c>
      <c r="AT263" s="44">
        <f>AU263-AY263</f>
        <v>0.2899999999999999</v>
      </c>
      <c r="AU263" s="60">
        <v>0.95</v>
      </c>
      <c r="AV263" s="60">
        <v>0.82</v>
      </c>
      <c r="AW263" s="60">
        <v>0.68</v>
      </c>
      <c r="AX263" s="60">
        <v>0.72</v>
      </c>
      <c r="AY263" s="60">
        <v>0.66</v>
      </c>
      <c r="AZ263" s="140">
        <f>AVERAGE(AU263:AY263)</f>
        <v>0.766</v>
      </c>
      <c r="BC263" s="148">
        <f>BD263-BH263</f>
        <v>0.5799999999999998</v>
      </c>
      <c r="BD263" s="149">
        <f t="shared" si="115"/>
        <v>1.9</v>
      </c>
      <c r="BE263" s="149">
        <f t="shared" si="115"/>
        <v>1.64</v>
      </c>
      <c r="BF263" s="149">
        <f t="shared" si="115"/>
        <v>1.36</v>
      </c>
      <c r="BG263" s="149">
        <f t="shared" si="115"/>
        <v>1.44</v>
      </c>
      <c r="BH263" s="149">
        <f t="shared" si="115"/>
        <v>1.32</v>
      </c>
      <c r="BI263" s="140">
        <f>AVERAGE(BD263:BH263)</f>
        <v>1.532</v>
      </c>
    </row>
    <row r="264" spans="8:61" ht="12">
      <c r="H264" s="74"/>
      <c r="I264" s="74" t="s">
        <v>61</v>
      </c>
      <c r="J264" s="74"/>
      <c r="K264" s="74">
        <v>0.06</v>
      </c>
      <c r="L264" s="74">
        <v>0.05</v>
      </c>
      <c r="M264" s="74">
        <v>0.4</v>
      </c>
      <c r="N264" s="74">
        <v>0.003</v>
      </c>
      <c r="O264" s="74"/>
      <c r="P264" s="81">
        <f>AVERAGE(K264:O264)</f>
        <v>0.12825</v>
      </c>
      <c r="T264" s="28" t="s">
        <v>38</v>
      </c>
      <c r="U264" s="28" t="s">
        <v>38</v>
      </c>
      <c r="V264" s="28" t="s">
        <v>38</v>
      </c>
      <c r="W264" s="28" t="s">
        <v>38</v>
      </c>
      <c r="X264" s="28" t="s">
        <v>38</v>
      </c>
      <c r="Y264" s="143" t="s">
        <v>38</v>
      </c>
      <c r="AH264" s="137"/>
      <c r="AI264" s="25"/>
      <c r="AJ264" s="25"/>
      <c r="AK264" s="25"/>
      <c r="AL264" s="28" t="s">
        <v>38</v>
      </c>
      <c r="AM264" s="28" t="s">
        <v>38</v>
      </c>
      <c r="AN264" s="28" t="s">
        <v>38</v>
      </c>
      <c r="AO264" s="28" t="s">
        <v>38</v>
      </c>
      <c r="AP264" s="28" t="s">
        <v>38</v>
      </c>
      <c r="AQ264" s="143" t="s">
        <v>38</v>
      </c>
      <c r="AR264" s="60"/>
      <c r="AS264" s="60"/>
      <c r="AT264" s="60"/>
      <c r="AU264" s="60"/>
      <c r="AV264" s="60"/>
      <c r="AW264" s="60"/>
      <c r="AX264" s="60"/>
      <c r="AY264" s="60"/>
      <c r="AZ264" s="137"/>
      <c r="BI264" s="137"/>
    </row>
    <row r="265" spans="8:61" ht="12">
      <c r="H265" s="74"/>
      <c r="I265" s="74" t="s">
        <v>62</v>
      </c>
      <c r="J265" s="74"/>
      <c r="K265" s="74">
        <v>0.05</v>
      </c>
      <c r="L265" s="74">
        <v>0.05</v>
      </c>
      <c r="M265" s="74">
        <v>0.3</v>
      </c>
      <c r="N265" s="74">
        <v>0.003</v>
      </c>
      <c r="O265" s="74"/>
      <c r="P265" s="81">
        <f>AVERAGE(K265:O265)</f>
        <v>0.10075</v>
      </c>
      <c r="Q265" s="25" t="s">
        <v>79</v>
      </c>
      <c r="S265" s="132">
        <f>T265-X265</f>
        <v>1452</v>
      </c>
      <c r="T265" s="42">
        <v>4342</v>
      </c>
      <c r="U265" s="42">
        <v>4337</v>
      </c>
      <c r="V265" s="42">
        <v>3904</v>
      </c>
      <c r="W265" s="42">
        <v>3269</v>
      </c>
      <c r="X265" s="42">
        <v>2890</v>
      </c>
      <c r="Y265" s="53">
        <f>AVERAGE(T265:X265)</f>
        <v>3748.4</v>
      </c>
      <c r="Z265" s="22" t="s">
        <v>77</v>
      </c>
      <c r="AC265" s="28" t="s">
        <v>71</v>
      </c>
      <c r="AD265" s="28" t="s">
        <v>71</v>
      </c>
      <c r="AE265" s="28" t="s">
        <v>71</v>
      </c>
      <c r="AF265" s="28" t="s">
        <v>71</v>
      </c>
      <c r="AG265" s="28" t="s">
        <v>71</v>
      </c>
      <c r="AH265" s="138" t="s">
        <v>71</v>
      </c>
      <c r="AI265" s="25" t="s">
        <v>79</v>
      </c>
      <c r="AJ265" s="25"/>
      <c r="AK265" s="132">
        <f>AL265-AM265</f>
        <v>52</v>
      </c>
      <c r="AL265" s="42">
        <f aca="true" t="shared" si="116" ref="AL265:AP267">2*AC267</f>
        <v>366</v>
      </c>
      <c r="AM265" s="42">
        <f t="shared" si="116"/>
        <v>314</v>
      </c>
      <c r="AN265" s="42">
        <f t="shared" si="116"/>
        <v>0</v>
      </c>
      <c r="AO265" s="42">
        <f t="shared" si="116"/>
        <v>0</v>
      </c>
      <c r="AP265" s="42">
        <f t="shared" si="116"/>
        <v>0</v>
      </c>
      <c r="AQ265" s="53">
        <f>AVERAGE(AL265:AP265)</f>
        <v>136</v>
      </c>
      <c r="AR265" s="64" t="s">
        <v>77</v>
      </c>
      <c r="AS265" s="60"/>
      <c r="AT265" s="60"/>
      <c r="AU265" s="62" t="s">
        <v>71</v>
      </c>
      <c r="AV265" s="62" t="s">
        <v>71</v>
      </c>
      <c r="AW265" s="62" t="s">
        <v>71</v>
      </c>
      <c r="AX265" s="62" t="s">
        <v>71</v>
      </c>
      <c r="AY265" s="62" t="s">
        <v>71</v>
      </c>
      <c r="AZ265" s="138" t="s">
        <v>71</v>
      </c>
      <c r="BA265" s="139" t="s">
        <v>77</v>
      </c>
      <c r="BD265" s="143" t="s">
        <v>71</v>
      </c>
      <c r="BE265" s="143" t="s">
        <v>71</v>
      </c>
      <c r="BF265" s="143" t="s">
        <v>71</v>
      </c>
      <c r="BG265" s="143" t="s">
        <v>71</v>
      </c>
      <c r="BH265" s="143" t="s">
        <v>71</v>
      </c>
      <c r="BI265" s="138" t="s">
        <v>71</v>
      </c>
    </row>
    <row r="266" spans="8:61" ht="12">
      <c r="H266" s="74"/>
      <c r="I266" s="74"/>
      <c r="J266" s="74"/>
      <c r="K266" s="74"/>
      <c r="L266" s="74"/>
      <c r="M266" s="74"/>
      <c r="N266" s="74"/>
      <c r="O266" s="74"/>
      <c r="P266" s="75"/>
      <c r="Q266" s="25" t="s">
        <v>80</v>
      </c>
      <c r="S266" s="132">
        <f>T266-X266</f>
        <v>1194</v>
      </c>
      <c r="T266" s="42">
        <v>-1273</v>
      </c>
      <c r="U266" s="42">
        <v>-1818</v>
      </c>
      <c r="V266" s="42">
        <v>-1383</v>
      </c>
      <c r="W266" s="42">
        <v>-1370</v>
      </c>
      <c r="X266" s="42">
        <v>-2467</v>
      </c>
      <c r="Y266" s="53">
        <f>AVERAGE(T266:X266)</f>
        <v>-1662.2</v>
      </c>
      <c r="AC266" s="28" t="s">
        <v>68</v>
      </c>
      <c r="AD266" s="28" t="s">
        <v>68</v>
      </c>
      <c r="AE266" s="28" t="s">
        <v>68</v>
      </c>
      <c r="AF266" s="28" t="s">
        <v>68</v>
      </c>
      <c r="AG266" s="28" t="s">
        <v>68</v>
      </c>
      <c r="AH266" s="138" t="s">
        <v>68</v>
      </c>
      <c r="AI266" s="25" t="s">
        <v>80</v>
      </c>
      <c r="AJ266" s="25"/>
      <c r="AK266" s="132">
        <f>AL266-AM266</f>
        <v>-356</v>
      </c>
      <c r="AL266" s="42">
        <f t="shared" si="116"/>
        <v>-686</v>
      </c>
      <c r="AM266" s="42">
        <f t="shared" si="116"/>
        <v>-330</v>
      </c>
      <c r="AN266" s="42">
        <f t="shared" si="116"/>
        <v>0</v>
      </c>
      <c r="AO266" s="42">
        <f t="shared" si="116"/>
        <v>0</v>
      </c>
      <c r="AP266" s="42">
        <f t="shared" si="116"/>
        <v>0</v>
      </c>
      <c r="AQ266" s="53">
        <f>AVERAGE(AL266:AP266)</f>
        <v>-203.2</v>
      </c>
      <c r="AR266" s="60"/>
      <c r="AS266" s="60"/>
      <c r="AT266" s="60"/>
      <c r="AU266" s="62" t="s">
        <v>68</v>
      </c>
      <c r="AV266" s="62" t="s">
        <v>68</v>
      </c>
      <c r="AW266" s="62" t="s">
        <v>68</v>
      </c>
      <c r="AX266" s="62" t="s">
        <v>68</v>
      </c>
      <c r="AY266" s="62" t="s">
        <v>68</v>
      </c>
      <c r="AZ266" s="138" t="s">
        <v>68</v>
      </c>
      <c r="BD266" s="143" t="s">
        <v>38</v>
      </c>
      <c r="BE266" s="143" t="s">
        <v>38</v>
      </c>
      <c r="BF266" s="143" t="s">
        <v>38</v>
      </c>
      <c r="BG266" s="143" t="s">
        <v>38</v>
      </c>
      <c r="BH266" s="143" t="s">
        <v>38</v>
      </c>
      <c r="BI266" s="143" t="s">
        <v>38</v>
      </c>
    </row>
    <row r="267" spans="8:61" ht="12">
      <c r="H267" s="78" t="s">
        <v>77</v>
      </c>
      <c r="I267" s="74"/>
      <c r="J267" s="74"/>
      <c r="K267" s="76" t="s">
        <v>71</v>
      </c>
      <c r="L267" s="76" t="s">
        <v>71</v>
      </c>
      <c r="M267" s="76" t="s">
        <v>71</v>
      </c>
      <c r="N267" s="76" t="s">
        <v>71</v>
      </c>
      <c r="O267" s="76" t="s">
        <v>71</v>
      </c>
      <c r="P267" s="77" t="s">
        <v>71</v>
      </c>
      <c r="Q267" s="25" t="s">
        <v>75</v>
      </c>
      <c r="S267" s="132">
        <f>T267-X267</f>
        <v>-4681</v>
      </c>
      <c r="T267" s="42">
        <v>-5192</v>
      </c>
      <c r="U267" s="42">
        <v>362</v>
      </c>
      <c r="V267" s="42">
        <v>-1634</v>
      </c>
      <c r="W267" s="42">
        <v>-1737</v>
      </c>
      <c r="X267" s="42">
        <v>-511</v>
      </c>
      <c r="Y267" s="53">
        <f>AVERAGE(T267:X267)</f>
        <v>-1742.4</v>
      </c>
      <c r="Z267" s="25" t="s">
        <v>79</v>
      </c>
      <c r="AB267" s="132">
        <f>AC267-AD267</f>
        <v>26</v>
      </c>
      <c r="AC267" s="42">
        <v>183</v>
      </c>
      <c r="AD267" s="42">
        <v>157</v>
      </c>
      <c r="AE267" s="42"/>
      <c r="AF267" s="42"/>
      <c r="AG267" s="42"/>
      <c r="AH267" s="53">
        <f>AVERAGE(AC267:AG267)</f>
        <v>170</v>
      </c>
      <c r="AI267" s="25" t="s">
        <v>75</v>
      </c>
      <c r="AJ267" s="25"/>
      <c r="AK267" s="132">
        <f>AL267-AM267</f>
        <v>526</v>
      </c>
      <c r="AL267" s="42">
        <f t="shared" si="116"/>
        <v>436</v>
      </c>
      <c r="AM267" s="42">
        <f t="shared" si="116"/>
        <v>-90</v>
      </c>
      <c r="AN267" s="42">
        <f t="shared" si="116"/>
        <v>0</v>
      </c>
      <c r="AO267" s="42">
        <f t="shared" si="116"/>
        <v>0</v>
      </c>
      <c r="AP267" s="42">
        <f t="shared" si="116"/>
        <v>0</v>
      </c>
      <c r="AQ267" s="53">
        <f>AVERAGE(AL267:AP267)</f>
        <v>69.2</v>
      </c>
      <c r="AR267" s="60" t="s">
        <v>79</v>
      </c>
      <c r="AS267" s="60"/>
      <c r="AT267" s="132">
        <f>AU267-AX267</f>
        <v>-731</v>
      </c>
      <c r="AU267" s="65">
        <v>4357</v>
      </c>
      <c r="AV267" s="65">
        <v>5958</v>
      </c>
      <c r="AW267" s="65">
        <v>4944</v>
      </c>
      <c r="AX267" s="65">
        <v>5088</v>
      </c>
      <c r="AY267" s="65"/>
      <c r="AZ267" s="53">
        <f>AVERAGE(AU267:AY267)</f>
        <v>5086.75</v>
      </c>
      <c r="BA267" s="133" t="s">
        <v>79</v>
      </c>
      <c r="BC267" s="146">
        <f>BD267-BE267</f>
        <v>-3202</v>
      </c>
      <c r="BD267" s="147">
        <f aca="true" t="shared" si="117" ref="BD267:BF269">2*AU267</f>
        <v>8714</v>
      </c>
      <c r="BE267" s="147">
        <f t="shared" si="117"/>
        <v>11916</v>
      </c>
      <c r="BF267" s="147">
        <f t="shared" si="117"/>
        <v>9888</v>
      </c>
      <c r="BG267" s="147">
        <f aca="true" t="shared" si="118" ref="BG267:BH269">2*AX267</f>
        <v>10176</v>
      </c>
      <c r="BH267" s="147">
        <f t="shared" si="118"/>
        <v>0</v>
      </c>
      <c r="BI267" s="53">
        <f>AVERAGE(BD267:BH267)</f>
        <v>8138.8</v>
      </c>
    </row>
    <row r="268" spans="8:61" ht="12">
      <c r="H268" s="74"/>
      <c r="I268" s="74"/>
      <c r="J268" s="74"/>
      <c r="K268" s="76" t="s">
        <v>68</v>
      </c>
      <c r="L268" s="76" t="s">
        <v>68</v>
      </c>
      <c r="M268" s="76" t="s">
        <v>68</v>
      </c>
      <c r="N268" s="76" t="s">
        <v>68</v>
      </c>
      <c r="O268" s="76" t="s">
        <v>68</v>
      </c>
      <c r="P268" s="77" t="s">
        <v>68</v>
      </c>
      <c r="Q268" s="25" t="s">
        <v>64</v>
      </c>
      <c r="S268" s="132">
        <f>T268-X268</f>
        <v>1806</v>
      </c>
      <c r="T268" s="42">
        <v>2136</v>
      </c>
      <c r="U268" s="42">
        <v>4261</v>
      </c>
      <c r="V268" s="42">
        <v>1380</v>
      </c>
      <c r="W268" s="42">
        <v>493</v>
      </c>
      <c r="X268" s="42">
        <v>330</v>
      </c>
      <c r="Y268" s="53">
        <f>AVERAGE(T268:X268)</f>
        <v>1720</v>
      </c>
      <c r="Z268" s="25" t="s">
        <v>80</v>
      </c>
      <c r="AB268" s="132">
        <f>AC268-AD268</f>
        <v>-178</v>
      </c>
      <c r="AC268" s="42">
        <v>-343</v>
      </c>
      <c r="AD268" s="42">
        <v>-165</v>
      </c>
      <c r="AE268" s="42"/>
      <c r="AF268" s="42"/>
      <c r="AG268" s="42"/>
      <c r="AH268" s="53">
        <f>AVERAGE(AC268:AG268)</f>
        <v>-254</v>
      </c>
      <c r="AI268" s="25" t="s">
        <v>64</v>
      </c>
      <c r="AJ268" s="25"/>
      <c r="AK268" s="132">
        <f>AL268-AM268</f>
        <v>116</v>
      </c>
      <c r="AL268" s="42">
        <f>2*AC271</f>
        <v>154</v>
      </c>
      <c r="AM268" s="42">
        <f>2*AD271</f>
        <v>38</v>
      </c>
      <c r="AN268" s="42">
        <f>2*AE271</f>
        <v>0</v>
      </c>
      <c r="AO268" s="42">
        <f>2*AF271</f>
        <v>0</v>
      </c>
      <c r="AP268" s="42">
        <f>2*AG271</f>
        <v>0</v>
      </c>
      <c r="AQ268" s="53">
        <f>AVERAGE(AL268:AP268)</f>
        <v>38.4</v>
      </c>
      <c r="AR268" s="60" t="s">
        <v>80</v>
      </c>
      <c r="AS268" s="60"/>
      <c r="AT268" s="132">
        <f>AU268-AX268</f>
        <v>-660</v>
      </c>
      <c r="AU268" s="65">
        <v>-1521</v>
      </c>
      <c r="AV268" s="65">
        <v>-1660</v>
      </c>
      <c r="AW268" s="65">
        <v>-920</v>
      </c>
      <c r="AX268" s="65">
        <v>-861</v>
      </c>
      <c r="AY268" s="65"/>
      <c r="AZ268" s="53">
        <f>AVERAGE(AU268:AY268)</f>
        <v>-1240.5</v>
      </c>
      <c r="BA268" s="133" t="s">
        <v>80</v>
      </c>
      <c r="BC268" s="146">
        <f>BD268-BE268</f>
        <v>278</v>
      </c>
      <c r="BD268" s="147">
        <f t="shared" si="117"/>
        <v>-3042</v>
      </c>
      <c r="BE268" s="147">
        <f t="shared" si="117"/>
        <v>-3320</v>
      </c>
      <c r="BF268" s="147">
        <f t="shared" si="117"/>
        <v>-1840</v>
      </c>
      <c r="BG268" s="147">
        <f t="shared" si="118"/>
        <v>-1722</v>
      </c>
      <c r="BH268" s="147">
        <f t="shared" si="118"/>
        <v>0</v>
      </c>
      <c r="BI268" s="53">
        <f>AVERAGE(BD268:BH268)</f>
        <v>-1984.8</v>
      </c>
    </row>
    <row r="269" spans="8:61" ht="12">
      <c r="H269" s="74" t="s">
        <v>79</v>
      </c>
      <c r="I269" s="74"/>
      <c r="J269" s="82"/>
      <c r="K269" s="79">
        <v>41</v>
      </c>
      <c r="L269" s="79">
        <v>197</v>
      </c>
      <c r="M269" s="79">
        <v>292</v>
      </c>
      <c r="N269" s="79">
        <v>192</v>
      </c>
      <c r="O269" s="79"/>
      <c r="P269" s="80">
        <f>AVERAGE(K269:O269)</f>
        <v>180.5</v>
      </c>
      <c r="Z269" s="25" t="s">
        <v>75</v>
      </c>
      <c r="AB269" s="132">
        <f>AC269-AD269</f>
        <v>263</v>
      </c>
      <c r="AC269" s="42">
        <v>218</v>
      </c>
      <c r="AD269" s="42">
        <v>-45</v>
      </c>
      <c r="AE269" s="42"/>
      <c r="AF269" s="42"/>
      <c r="AG269" s="42"/>
      <c r="AH269" s="53">
        <f>AVERAGE(AC269:AG269)</f>
        <v>86.5</v>
      </c>
      <c r="AI269" s="25"/>
      <c r="AJ269" s="25"/>
      <c r="AK269" s="25"/>
      <c r="AL269" s="25"/>
      <c r="AM269" s="25"/>
      <c r="AN269" s="25"/>
      <c r="AO269" s="25"/>
      <c r="AP269" s="25"/>
      <c r="AQ269" s="137"/>
      <c r="AR269" s="60" t="s">
        <v>75</v>
      </c>
      <c r="AS269" s="60"/>
      <c r="AT269" s="132">
        <f>AU269-AX269</f>
        <v>-1501</v>
      </c>
      <c r="AU269" s="65">
        <v>-4792</v>
      </c>
      <c r="AV269" s="65">
        <v>-2914</v>
      </c>
      <c r="AW269" s="65">
        <v>-3407</v>
      </c>
      <c r="AX269" s="65">
        <v>-3291</v>
      </c>
      <c r="AY269" s="65"/>
      <c r="AZ269" s="53">
        <f>AVERAGE(AU269:AY269)</f>
        <v>-3601</v>
      </c>
      <c r="BA269" s="133" t="s">
        <v>75</v>
      </c>
      <c r="BC269" s="146">
        <f>BD269-BE269</f>
        <v>-3756</v>
      </c>
      <c r="BD269" s="147">
        <f t="shared" si="117"/>
        <v>-9584</v>
      </c>
      <c r="BE269" s="147">
        <f t="shared" si="117"/>
        <v>-5828</v>
      </c>
      <c r="BF269" s="147">
        <f t="shared" si="117"/>
        <v>-6814</v>
      </c>
      <c r="BG269" s="147">
        <f t="shared" si="118"/>
        <v>-6582</v>
      </c>
      <c r="BH269" s="147">
        <f t="shared" si="118"/>
        <v>0</v>
      </c>
      <c r="BI269" s="53">
        <f>AVERAGE(BD269:BH269)</f>
        <v>-5761.6</v>
      </c>
    </row>
    <row r="270" spans="8:61" ht="12">
      <c r="H270" s="74" t="s">
        <v>80</v>
      </c>
      <c r="I270" s="74"/>
      <c r="J270" s="82"/>
      <c r="K270" s="79">
        <v>112</v>
      </c>
      <c r="L270" s="79">
        <v>-250</v>
      </c>
      <c r="M270" s="79">
        <v>544</v>
      </c>
      <c r="N270" s="79">
        <v>9</v>
      </c>
      <c r="O270" s="79"/>
      <c r="P270" s="80">
        <f>AVERAGE(K270:O270)</f>
        <v>103.75</v>
      </c>
      <c r="Q270" s="139" t="s">
        <v>282</v>
      </c>
      <c r="R270" s="133"/>
      <c r="S270" s="133"/>
      <c r="T270" s="28" t="s">
        <v>71</v>
      </c>
      <c r="U270" s="28" t="s">
        <v>71</v>
      </c>
      <c r="V270" s="28" t="s">
        <v>71</v>
      </c>
      <c r="W270" s="28" t="s">
        <v>71</v>
      </c>
      <c r="X270" s="28" t="s">
        <v>71</v>
      </c>
      <c r="Y270" s="138" t="s">
        <v>71</v>
      </c>
      <c r="Z270" s="25" t="s">
        <v>63</v>
      </c>
      <c r="AB270" s="132">
        <f>AC270-AD270</f>
        <v>-53</v>
      </c>
      <c r="AC270" s="42">
        <v>19</v>
      </c>
      <c r="AD270" s="42">
        <v>72</v>
      </c>
      <c r="AE270" s="42"/>
      <c r="AF270" s="42"/>
      <c r="AG270" s="42"/>
      <c r="AH270" s="53">
        <f>AVERAGE(AC270:AG270)</f>
        <v>45.5</v>
      </c>
      <c r="AI270" s="139" t="s">
        <v>282</v>
      </c>
      <c r="AL270" s="28" t="s">
        <v>71</v>
      </c>
      <c r="AM270" s="28" t="s">
        <v>71</v>
      </c>
      <c r="AN270" s="28" t="s">
        <v>71</v>
      </c>
      <c r="AO270" s="28" t="s">
        <v>71</v>
      </c>
      <c r="AP270" s="28" t="s">
        <v>71</v>
      </c>
      <c r="AQ270" s="138" t="s">
        <v>71</v>
      </c>
      <c r="AR270" s="60" t="s">
        <v>63</v>
      </c>
      <c r="AS270" s="60"/>
      <c r="AT270" s="132">
        <f>AU270-AX270</f>
        <v>2967</v>
      </c>
      <c r="AU270" s="65">
        <v>3972</v>
      </c>
      <c r="AV270" s="65">
        <v>2355</v>
      </c>
      <c r="AW270" s="65">
        <v>1831</v>
      </c>
      <c r="AX270" s="65">
        <v>1005</v>
      </c>
      <c r="AY270" s="65"/>
      <c r="AZ270" s="53">
        <f>AVERAGE(AU270:AY270)</f>
        <v>2290.75</v>
      </c>
      <c r="BA270" s="133" t="s">
        <v>64</v>
      </c>
      <c r="BC270" s="146">
        <f>BD270-BE270</f>
        <v>-4420</v>
      </c>
      <c r="BD270" s="147">
        <f>2*AU271</f>
        <v>3524</v>
      </c>
      <c r="BE270" s="147">
        <f>2*AV271</f>
        <v>7944</v>
      </c>
      <c r="BF270" s="147">
        <f>2*AW271</f>
        <v>4710</v>
      </c>
      <c r="BG270" s="147">
        <f>2*AX271</f>
        <v>3662</v>
      </c>
      <c r="BH270" s="147">
        <f>2*AY271</f>
        <v>0</v>
      </c>
      <c r="BI270" s="53">
        <f>AVERAGE(BD270:BH270)</f>
        <v>3968</v>
      </c>
    </row>
    <row r="271" spans="8:61" ht="12">
      <c r="H271" s="74" t="s">
        <v>75</v>
      </c>
      <c r="I271" s="74"/>
      <c r="J271" s="82"/>
      <c r="K271" s="79">
        <v>147</v>
      </c>
      <c r="L271" s="79">
        <v>133</v>
      </c>
      <c r="M271" s="79">
        <v>-441</v>
      </c>
      <c r="N271" s="79">
        <v>-30</v>
      </c>
      <c r="O271" s="79"/>
      <c r="P271" s="80">
        <f>AVERAGE(K271:O271)</f>
        <v>-47.75</v>
      </c>
      <c r="Q271" s="133"/>
      <c r="R271" s="133"/>
      <c r="S271" s="133"/>
      <c r="T271" s="28" t="s">
        <v>38</v>
      </c>
      <c r="U271" s="28" t="s">
        <v>38</v>
      </c>
      <c r="V271" s="28" t="s">
        <v>38</v>
      </c>
      <c r="W271" s="28" t="s">
        <v>38</v>
      </c>
      <c r="X271" s="28" t="s">
        <v>38</v>
      </c>
      <c r="Y271" s="143" t="s">
        <v>38</v>
      </c>
      <c r="Z271" s="25" t="s">
        <v>64</v>
      </c>
      <c r="AB271" s="132">
        <f>AC271-AD271</f>
        <v>58</v>
      </c>
      <c r="AC271" s="42">
        <v>77</v>
      </c>
      <c r="AD271" s="42">
        <v>19</v>
      </c>
      <c r="AE271" s="42"/>
      <c r="AF271" s="42"/>
      <c r="AG271" s="42"/>
      <c r="AH271" s="53">
        <f>AVERAGE(AC271:AG271)</f>
        <v>48</v>
      </c>
      <c r="AL271" s="28" t="s">
        <v>38</v>
      </c>
      <c r="AM271" s="28" t="s">
        <v>38</v>
      </c>
      <c r="AN271" s="28" t="s">
        <v>38</v>
      </c>
      <c r="AO271" s="28" t="s">
        <v>38</v>
      </c>
      <c r="AP271" s="28" t="s">
        <v>38</v>
      </c>
      <c r="AQ271" s="143" t="s">
        <v>38</v>
      </c>
      <c r="AR271" s="60" t="s">
        <v>64</v>
      </c>
      <c r="AS271" s="60"/>
      <c r="AT271" s="132">
        <f>AU271-AX271</f>
        <v>-69</v>
      </c>
      <c r="AU271" s="65">
        <v>1762</v>
      </c>
      <c r="AV271" s="65">
        <v>3972</v>
      </c>
      <c r="AW271" s="65">
        <v>2355</v>
      </c>
      <c r="AX271" s="65">
        <v>1831</v>
      </c>
      <c r="AY271" s="65"/>
      <c r="AZ271" s="53">
        <f>AVERAGE(AU271:AY271)</f>
        <v>2480</v>
      </c>
      <c r="BI271" s="137"/>
    </row>
    <row r="272" spans="8:61" ht="12">
      <c r="H272" s="74" t="s">
        <v>63</v>
      </c>
      <c r="I272" s="74"/>
      <c r="J272" s="82"/>
      <c r="K272" s="79">
        <v>663</v>
      </c>
      <c r="L272" s="79">
        <v>582</v>
      </c>
      <c r="M272" s="79">
        <v>185</v>
      </c>
      <c r="N272" s="79"/>
      <c r="O272" s="79"/>
      <c r="P272" s="80">
        <f>AVERAGE(K272:O272)</f>
        <v>476.6666666666667</v>
      </c>
      <c r="Q272" s="25" t="s">
        <v>283</v>
      </c>
      <c r="R272" s="22"/>
      <c r="S272" s="132">
        <f>T272-X272</f>
        <v>650</v>
      </c>
      <c r="T272" s="42">
        <v>2209</v>
      </c>
      <c r="U272" s="42">
        <v>1924</v>
      </c>
      <c r="V272" s="42">
        <v>1828</v>
      </c>
      <c r="W272" s="42">
        <v>1665</v>
      </c>
      <c r="X272" s="42">
        <v>1559</v>
      </c>
      <c r="Y272" s="53">
        <f>AVERAGE(T272:X272)</f>
        <v>1837</v>
      </c>
      <c r="AH272" s="137"/>
      <c r="AI272" s="25" t="s">
        <v>283</v>
      </c>
      <c r="AJ272" s="22"/>
      <c r="AK272" s="132">
        <f>AL272-AP272</f>
        <v>587</v>
      </c>
      <c r="AL272" s="42">
        <v>1137</v>
      </c>
      <c r="AM272" s="42">
        <v>904</v>
      </c>
      <c r="AN272" s="42">
        <v>806</v>
      </c>
      <c r="AO272" s="42">
        <v>735</v>
      </c>
      <c r="AP272" s="42">
        <v>550</v>
      </c>
      <c r="AQ272" s="53">
        <f>AVERAGE(AL272:AP272)</f>
        <v>826.4</v>
      </c>
      <c r="AR272" s="60"/>
      <c r="AS272" s="60"/>
      <c r="AT272" s="60"/>
      <c r="AU272" s="60"/>
      <c r="AV272" s="60"/>
      <c r="AW272" s="60"/>
      <c r="AX272" s="60"/>
      <c r="AY272" s="60"/>
      <c r="AZ272" s="137"/>
      <c r="BA272" s="139" t="s">
        <v>282</v>
      </c>
      <c r="BD272" s="28" t="s">
        <v>71</v>
      </c>
      <c r="BE272" s="28" t="s">
        <v>71</v>
      </c>
      <c r="BF272" s="28" t="s">
        <v>71</v>
      </c>
      <c r="BG272" s="28" t="s">
        <v>71</v>
      </c>
      <c r="BH272" s="28" t="s">
        <v>71</v>
      </c>
      <c r="BI272" s="138" t="s">
        <v>71</v>
      </c>
    </row>
    <row r="273" spans="8:61" ht="12">
      <c r="H273" s="74" t="s">
        <v>64</v>
      </c>
      <c r="I273" s="74"/>
      <c r="J273" s="82"/>
      <c r="K273" s="79">
        <v>961</v>
      </c>
      <c r="L273" s="79">
        <v>663</v>
      </c>
      <c r="M273" s="79">
        <v>582</v>
      </c>
      <c r="N273" s="79"/>
      <c r="O273" s="79"/>
      <c r="P273" s="80">
        <f>AVERAGE(K273:O273)</f>
        <v>735.3333333333334</v>
      </c>
      <c r="Q273" s="133" t="s">
        <v>284</v>
      </c>
      <c r="R273" s="133"/>
      <c r="S273" s="132">
        <f>T273-X273</f>
        <v>2263</v>
      </c>
      <c r="T273" s="42">
        <v>20846</v>
      </c>
      <c r="U273" s="42">
        <v>19573</v>
      </c>
      <c r="V273" s="42">
        <v>20703</v>
      </c>
      <c r="W273" s="42">
        <v>19925</v>
      </c>
      <c r="X273" s="42">
        <v>18583</v>
      </c>
      <c r="Y273" s="53">
        <f>AVERAGE(T273:X273)</f>
        <v>19926</v>
      </c>
      <c r="AC273" s="28" t="s">
        <v>71</v>
      </c>
      <c r="AD273" s="28" t="s">
        <v>71</v>
      </c>
      <c r="AE273" s="28" t="s">
        <v>71</v>
      </c>
      <c r="AF273" s="28" t="s">
        <v>71</v>
      </c>
      <c r="AG273" s="28" t="s">
        <v>71</v>
      </c>
      <c r="AH273" s="138" t="s">
        <v>71</v>
      </c>
      <c r="AI273" s="133" t="s">
        <v>284</v>
      </c>
      <c r="AK273" s="132">
        <f>AL273-AP273</f>
        <v>261</v>
      </c>
      <c r="AL273" s="42">
        <v>484</v>
      </c>
      <c r="AM273" s="42">
        <v>396</v>
      </c>
      <c r="AN273" s="42">
        <v>326</v>
      </c>
      <c r="AO273" s="42">
        <v>266</v>
      </c>
      <c r="AP273" s="42">
        <v>223</v>
      </c>
      <c r="AQ273" s="53">
        <f>AVERAGE(AL273:AP273)</f>
        <v>339</v>
      </c>
      <c r="AR273" s="60"/>
      <c r="AS273" s="60"/>
      <c r="AT273" s="60"/>
      <c r="AU273" s="62" t="s">
        <v>71</v>
      </c>
      <c r="AV273" s="62" t="s">
        <v>71</v>
      </c>
      <c r="AW273" s="62" t="s">
        <v>71</v>
      </c>
      <c r="AX273" s="62" t="s">
        <v>71</v>
      </c>
      <c r="AY273" s="62" t="s">
        <v>71</v>
      </c>
      <c r="AZ273" s="138" t="s">
        <v>71</v>
      </c>
      <c r="BD273" s="28" t="s">
        <v>38</v>
      </c>
      <c r="BE273" s="28" t="s">
        <v>38</v>
      </c>
      <c r="BF273" s="28" t="s">
        <v>38</v>
      </c>
      <c r="BG273" s="28" t="s">
        <v>38</v>
      </c>
      <c r="BH273" s="28" t="s">
        <v>38</v>
      </c>
      <c r="BI273" s="143" t="s">
        <v>38</v>
      </c>
    </row>
    <row r="274" spans="8:61" ht="12">
      <c r="H274" s="74"/>
      <c r="I274" s="74"/>
      <c r="J274" s="74"/>
      <c r="K274" s="74"/>
      <c r="L274" s="74"/>
      <c r="M274" s="74"/>
      <c r="N274" s="74"/>
      <c r="O274" s="74"/>
      <c r="P274" s="75"/>
      <c r="R274" s="22"/>
      <c r="S274" s="132"/>
      <c r="T274" s="42"/>
      <c r="U274" s="42"/>
      <c r="V274" s="42"/>
      <c r="W274" s="42"/>
      <c r="X274" s="42"/>
      <c r="Y274" s="53"/>
      <c r="Z274" s="22"/>
      <c r="AA274" s="22"/>
      <c r="AB274" s="22"/>
      <c r="AC274" s="28" t="s">
        <v>68</v>
      </c>
      <c r="AD274" s="28" t="s">
        <v>68</v>
      </c>
      <c r="AE274" s="28" t="s">
        <v>68</v>
      </c>
      <c r="AF274" s="28" t="s">
        <v>68</v>
      </c>
      <c r="AG274" s="28" t="s">
        <v>68</v>
      </c>
      <c r="AH274" s="138" t="s">
        <v>68</v>
      </c>
      <c r="AI274" s="25"/>
      <c r="AJ274" s="22"/>
      <c r="AK274" s="132"/>
      <c r="AL274" s="25"/>
      <c r="AM274" s="25"/>
      <c r="AN274" s="25"/>
      <c r="AO274" s="25"/>
      <c r="AP274" s="25"/>
      <c r="AQ274" s="53"/>
      <c r="AR274" s="64"/>
      <c r="AS274" s="64"/>
      <c r="AT274" s="64"/>
      <c r="AU274" s="62" t="s">
        <v>68</v>
      </c>
      <c r="AV274" s="62" t="s">
        <v>68</v>
      </c>
      <c r="AW274" s="62" t="s">
        <v>68</v>
      </c>
      <c r="AX274" s="62" t="s">
        <v>68</v>
      </c>
      <c r="AY274" s="62" t="s">
        <v>68</v>
      </c>
      <c r="AZ274" s="138" t="s">
        <v>68</v>
      </c>
      <c r="BA274" s="25" t="s">
        <v>283</v>
      </c>
      <c r="BB274" s="22"/>
      <c r="BC274" s="132">
        <f>BD274-BH274</f>
        <v>4486</v>
      </c>
      <c r="BD274" s="42">
        <f>(758+3293)*2</f>
        <v>8102</v>
      </c>
      <c r="BE274" s="42">
        <f>(696+3383)*2</f>
        <v>8158</v>
      </c>
      <c r="BF274" s="42">
        <f>(304+2513)*2</f>
        <v>5634</v>
      </c>
      <c r="BG274" s="42">
        <v>3680</v>
      </c>
      <c r="BH274" s="42">
        <v>3616</v>
      </c>
      <c r="BI274" s="53">
        <f>AVERAGE(BD274:BH274)</f>
        <v>5838</v>
      </c>
    </row>
    <row r="275" spans="8:61" ht="12">
      <c r="H275" s="74"/>
      <c r="I275" s="74"/>
      <c r="J275" s="74"/>
      <c r="K275" s="76" t="s">
        <v>71</v>
      </c>
      <c r="L275" s="76" t="s">
        <v>71</v>
      </c>
      <c r="M275" s="76" t="s">
        <v>71</v>
      </c>
      <c r="N275" s="76" t="s">
        <v>71</v>
      </c>
      <c r="O275" s="76" t="s">
        <v>71</v>
      </c>
      <c r="P275" s="77" t="s">
        <v>71</v>
      </c>
      <c r="Z275" s="22" t="s">
        <v>102</v>
      </c>
      <c r="AB275" s="132">
        <f>AC275-AG275</f>
        <v>451</v>
      </c>
      <c r="AC275" s="42">
        <f>AC247-AC248</f>
        <v>946</v>
      </c>
      <c r="AD275" s="42">
        <f>AD247-AD248</f>
        <v>655</v>
      </c>
      <c r="AE275" s="42">
        <f>AE247-AE248</f>
        <v>630</v>
      </c>
      <c r="AF275" s="42">
        <f>AF247-AF248</f>
        <v>544</v>
      </c>
      <c r="AG275" s="42">
        <f>AG247-AG248</f>
        <v>495</v>
      </c>
      <c r="AH275" s="53">
        <f>AVERAGE(AC275:AG275)</f>
        <v>654</v>
      </c>
      <c r="AR275" s="64" t="s">
        <v>102</v>
      </c>
      <c r="AS275" s="60"/>
      <c r="AT275" s="132">
        <f>AU275-AY275</f>
        <v>4769</v>
      </c>
      <c r="AU275" s="65">
        <f>AU247-AU248</f>
        <v>18288</v>
      </c>
      <c r="AV275" s="65">
        <f>AV247-AV248</f>
        <v>17687</v>
      </c>
      <c r="AW275" s="65">
        <f>AW247-AW248</f>
        <v>14380</v>
      </c>
      <c r="AX275" s="65">
        <f>AX247-AX248</f>
        <v>12729</v>
      </c>
      <c r="AY275" s="65">
        <f>AY247-AY248</f>
        <v>13519</v>
      </c>
      <c r="AZ275" s="53">
        <f>AVERAGE(AU275:AY275)</f>
        <v>15320.6</v>
      </c>
      <c r="BA275" s="133" t="s">
        <v>284</v>
      </c>
      <c r="BC275" s="132">
        <f>BD275-BH275</f>
        <v>562</v>
      </c>
      <c r="BD275" s="42">
        <v>13860</v>
      </c>
      <c r="BE275" s="42">
        <v>13304</v>
      </c>
      <c r="BF275" s="42">
        <v>12394</v>
      </c>
      <c r="BG275" s="42">
        <v>12882</v>
      </c>
      <c r="BH275" s="42">
        <v>13298</v>
      </c>
      <c r="BI275" s="53">
        <f>AVERAGE(BD275:BH275)</f>
        <v>13147.6</v>
      </c>
    </row>
    <row r="276" spans="8:61" ht="12">
      <c r="H276" s="78"/>
      <c r="I276" s="78"/>
      <c r="J276" s="78"/>
      <c r="K276" s="76" t="s">
        <v>68</v>
      </c>
      <c r="L276" s="76" t="s">
        <v>68</v>
      </c>
      <c r="M276" s="76" t="s">
        <v>68</v>
      </c>
      <c r="N276" s="76" t="s">
        <v>68</v>
      </c>
      <c r="O276" s="76" t="s">
        <v>68</v>
      </c>
      <c r="P276" s="77" t="s">
        <v>68</v>
      </c>
      <c r="Z276" s="22" t="s">
        <v>104</v>
      </c>
      <c r="AB276" s="132">
        <f>AC276-AG276</f>
        <v>1442</v>
      </c>
      <c r="AC276" s="42">
        <f>AC252-AC275</f>
        <v>2100</v>
      </c>
      <c r="AD276" s="42">
        <f>AD252-AD275</f>
        <v>1700</v>
      </c>
      <c r="AE276" s="42">
        <f>AE252-AE275</f>
        <v>1219</v>
      </c>
      <c r="AF276" s="42">
        <f>AF252-AF275</f>
        <v>1298</v>
      </c>
      <c r="AG276" s="42">
        <f>AG252-AG275</f>
        <v>658</v>
      </c>
      <c r="AH276" s="53">
        <f>AVERAGE(AC276:AG276)</f>
        <v>1395</v>
      </c>
      <c r="AR276" s="64" t="s">
        <v>104</v>
      </c>
      <c r="AS276" s="60"/>
      <c r="AT276" s="132">
        <f>AU276-AY276</f>
        <v>-2756</v>
      </c>
      <c r="AU276" s="65">
        <f>AU252-AU275</f>
        <v>4937</v>
      </c>
      <c r="AV276" s="65">
        <f>AV252-AV275</f>
        <v>3973</v>
      </c>
      <c r="AW276" s="65">
        <f>AW252-AW275</f>
        <v>5606</v>
      </c>
      <c r="AX276" s="65">
        <f>AX252-AX275</f>
        <v>8341</v>
      </c>
      <c r="AY276" s="65">
        <f>AY252-AY275</f>
        <v>7693</v>
      </c>
      <c r="AZ276" s="53">
        <f>AVERAGE(AU276:AY276)</f>
        <v>6110</v>
      </c>
      <c r="BA276" s="25"/>
      <c r="BB276" s="22"/>
      <c r="BC276" s="132"/>
      <c r="BD276" s="42"/>
      <c r="BE276" s="42"/>
      <c r="BF276" s="42"/>
      <c r="BG276" s="42"/>
      <c r="BH276" s="42"/>
      <c r="BI276" s="53"/>
    </row>
    <row r="277" spans="8:52" ht="12">
      <c r="H277" s="78" t="s">
        <v>102</v>
      </c>
      <c r="I277" s="74"/>
      <c r="J277" s="74"/>
      <c r="K277" s="79">
        <f>K249-K250</f>
        <v>5556</v>
      </c>
      <c r="L277" s="79">
        <f>L249-L250</f>
        <v>5818</v>
      </c>
      <c r="M277" s="79">
        <f>M249-M250</f>
        <v>4683</v>
      </c>
      <c r="N277" s="79">
        <f>N249-N250</f>
        <v>1802</v>
      </c>
      <c r="O277" s="79">
        <f>O249-O250</f>
        <v>0</v>
      </c>
      <c r="P277" s="80">
        <f>AVERAGE(K277:O277)</f>
        <v>3571.8</v>
      </c>
      <c r="T277" s="28" t="s">
        <v>71</v>
      </c>
      <c r="U277" s="28" t="s">
        <v>71</v>
      </c>
      <c r="V277" s="28" t="s">
        <v>71</v>
      </c>
      <c r="W277" s="28" t="s">
        <v>71</v>
      </c>
      <c r="X277" s="28" t="s">
        <v>71</v>
      </c>
      <c r="Y277" s="138" t="s">
        <v>71</v>
      </c>
      <c r="Z277" s="22"/>
      <c r="AC277" s="33"/>
      <c r="AD277" s="33"/>
      <c r="AE277" s="33"/>
      <c r="AF277" s="33"/>
      <c r="AG277" s="33"/>
      <c r="AH277" s="140"/>
      <c r="AI277" s="25"/>
      <c r="AJ277" s="25"/>
      <c r="AK277" s="25"/>
      <c r="AL277" s="28" t="s">
        <v>71</v>
      </c>
      <c r="AM277" s="28" t="s">
        <v>71</v>
      </c>
      <c r="AN277" s="28" t="s">
        <v>71</v>
      </c>
      <c r="AO277" s="28" t="s">
        <v>71</v>
      </c>
      <c r="AP277" s="28" t="s">
        <v>71</v>
      </c>
      <c r="AQ277" s="138" t="s">
        <v>71</v>
      </c>
      <c r="AR277" s="64"/>
      <c r="AS277" s="60"/>
      <c r="AT277" s="60"/>
      <c r="AU277" s="69"/>
      <c r="AV277" s="69"/>
      <c r="AW277" s="69"/>
      <c r="AX277" s="69"/>
      <c r="AY277" s="69"/>
      <c r="AZ277" s="140"/>
    </row>
    <row r="278" spans="8:52" ht="12">
      <c r="H278" s="78" t="s">
        <v>103</v>
      </c>
      <c r="I278" s="74"/>
      <c r="J278" s="74"/>
      <c r="K278" s="79">
        <f>K254-K255</f>
        <v>264</v>
      </c>
      <c r="L278" s="79">
        <f>L254-L255</f>
        <v>329</v>
      </c>
      <c r="M278" s="79">
        <f>M254-M255</f>
        <v>143</v>
      </c>
      <c r="N278" s="79">
        <f>N254-N255</f>
        <v>136</v>
      </c>
      <c r="O278" s="79">
        <f>O254-O255</f>
        <v>0</v>
      </c>
      <c r="P278" s="80">
        <f>AVERAGE(K278:O278)</f>
        <v>174.4</v>
      </c>
      <c r="Q278" s="22"/>
      <c r="R278" s="22"/>
      <c r="S278" s="22"/>
      <c r="T278" s="28" t="s">
        <v>38</v>
      </c>
      <c r="U278" s="28" t="s">
        <v>38</v>
      </c>
      <c r="V278" s="28" t="s">
        <v>38</v>
      </c>
      <c r="W278" s="28" t="s">
        <v>38</v>
      </c>
      <c r="X278" s="28" t="s">
        <v>38</v>
      </c>
      <c r="Y278" s="143" t="s">
        <v>38</v>
      </c>
      <c r="Z278" s="22"/>
      <c r="AC278" s="48" t="s">
        <v>105</v>
      </c>
      <c r="AD278" s="48" t="s">
        <v>105</v>
      </c>
      <c r="AE278" s="48" t="s">
        <v>105</v>
      </c>
      <c r="AF278" s="48" t="s">
        <v>105</v>
      </c>
      <c r="AG278" s="48" t="s">
        <v>105</v>
      </c>
      <c r="AH278" s="141" t="s">
        <v>105</v>
      </c>
      <c r="AI278" s="22"/>
      <c r="AJ278" s="22"/>
      <c r="AK278" s="22"/>
      <c r="AL278" s="28" t="s">
        <v>38</v>
      </c>
      <c r="AM278" s="28" t="s">
        <v>38</v>
      </c>
      <c r="AN278" s="28" t="s">
        <v>38</v>
      </c>
      <c r="AO278" s="28" t="s">
        <v>38</v>
      </c>
      <c r="AP278" s="28" t="s">
        <v>38</v>
      </c>
      <c r="AQ278" s="143" t="s">
        <v>38</v>
      </c>
      <c r="AR278" s="64"/>
      <c r="AS278" s="60"/>
      <c r="AT278" s="60"/>
      <c r="AU278" s="70" t="s">
        <v>105</v>
      </c>
      <c r="AV278" s="70" t="s">
        <v>105</v>
      </c>
      <c r="AW278" s="70" t="s">
        <v>105</v>
      </c>
      <c r="AX278" s="70" t="s">
        <v>105</v>
      </c>
      <c r="AY278" s="70" t="s">
        <v>105</v>
      </c>
      <c r="AZ278" s="141" t="s">
        <v>105</v>
      </c>
    </row>
    <row r="279" spans="8:61" ht="12">
      <c r="H279" s="78" t="s">
        <v>104</v>
      </c>
      <c r="I279" s="74"/>
      <c r="J279" s="74"/>
      <c r="K279" s="79">
        <f>K254-K277</f>
        <v>-3375</v>
      </c>
      <c r="L279" s="79">
        <f>L254-L277</f>
        <v>-3622</v>
      </c>
      <c r="M279" s="79">
        <f>M254-M277</f>
        <v>-2630</v>
      </c>
      <c r="N279" s="79">
        <f>N254-N277</f>
        <v>-49</v>
      </c>
      <c r="O279" s="79">
        <f>O254-O277</f>
        <v>0</v>
      </c>
      <c r="P279" s="80">
        <f>AVERAGE(K279:O279)</f>
        <v>-1935.2</v>
      </c>
      <c r="Q279" s="22" t="s">
        <v>102</v>
      </c>
      <c r="S279" s="132">
        <f>T279-X279</f>
        <v>4468</v>
      </c>
      <c r="T279" s="42">
        <f>T247-T248</f>
        <v>26016</v>
      </c>
      <c r="U279" s="42">
        <f>U247-U248</f>
        <v>25881</v>
      </c>
      <c r="V279" s="42">
        <f>V247-V248</f>
        <v>24317</v>
      </c>
      <c r="W279" s="42">
        <f>W247-W248</f>
        <v>23039</v>
      </c>
      <c r="X279" s="42">
        <f>X247-X248</f>
        <v>21548</v>
      </c>
      <c r="Y279" s="53">
        <f>AVERAGE(T279:X279)</f>
        <v>24160.2</v>
      </c>
      <c r="Z279" s="22" t="s">
        <v>53</v>
      </c>
      <c r="AB279" s="44">
        <f aca="true" t="shared" si="119" ref="AB279:AB285">AC279-AG279</f>
        <v>68.22645055203196</v>
      </c>
      <c r="AC279" s="51">
        <f>(AC249/AC275)*100</f>
        <v>126.00422832980973</v>
      </c>
      <c r="AD279" s="51">
        <f>(AD249/AD275)*100</f>
        <v>111.90839694656489</v>
      </c>
      <c r="AE279" s="51">
        <f>(AE249/AE275)*100</f>
        <v>89.84126984126985</v>
      </c>
      <c r="AF279" s="51">
        <f>(AF249/AF275)*100</f>
        <v>66.54411764705883</v>
      </c>
      <c r="AG279" s="51">
        <f>(AG249/AG275)*100</f>
        <v>57.77777777777777</v>
      </c>
      <c r="AH279" s="140">
        <f aca="true" t="shared" si="120" ref="AH279:AH285">AVERAGE(AC279:AG279)</f>
        <v>90.41515810849621</v>
      </c>
      <c r="AI279" s="22" t="s">
        <v>102</v>
      </c>
      <c r="AJ279" s="25"/>
      <c r="AK279" s="132">
        <f>AL279-AP279</f>
        <v>902</v>
      </c>
      <c r="AL279" s="42">
        <f>AL247-AL248</f>
        <v>1892</v>
      </c>
      <c r="AM279" s="42">
        <f>AM247-AM248</f>
        <v>1310</v>
      </c>
      <c r="AN279" s="42">
        <f>AN247-AN248</f>
        <v>1260</v>
      </c>
      <c r="AO279" s="42">
        <f>AO247-AO248</f>
        <v>1088</v>
      </c>
      <c r="AP279" s="42">
        <f>AP247-AP248</f>
        <v>990</v>
      </c>
      <c r="AQ279" s="53">
        <f>AVERAGE(AL279:AP279)</f>
        <v>1308</v>
      </c>
      <c r="AR279" s="64" t="s">
        <v>53</v>
      </c>
      <c r="AS279" s="60"/>
      <c r="AT279" s="132">
        <f aca="true" t="shared" si="121" ref="AT279:AT285">AU279-AY279</f>
        <v>-47.929433443110455</v>
      </c>
      <c r="AU279" s="72">
        <f>(AU249/AU275)*100</f>
        <v>86.9695975503062</v>
      </c>
      <c r="AV279" s="72">
        <f>(AV249/AV275)*100</f>
        <v>110.97416181376151</v>
      </c>
      <c r="AW279" s="72">
        <f>(AW249/AW275)*100</f>
        <v>118.26842837273992</v>
      </c>
      <c r="AX279" s="72">
        <f>(AX249/AX275)*100</f>
        <v>97.05397124675936</v>
      </c>
      <c r="AY279" s="72">
        <f>(AY249/AY275)*100</f>
        <v>134.89903099341666</v>
      </c>
      <c r="AZ279" s="140">
        <f aca="true" t="shared" si="122" ref="AZ279:AZ285">AVERAGE(AU279:AY279)</f>
        <v>109.63303799539673</v>
      </c>
      <c r="BA279" s="25"/>
      <c r="BB279" s="25"/>
      <c r="BC279" s="25"/>
      <c r="BD279" s="28" t="s">
        <v>71</v>
      </c>
      <c r="BE279" s="28" t="s">
        <v>71</v>
      </c>
      <c r="BF279" s="28" t="s">
        <v>71</v>
      </c>
      <c r="BG279" s="28" t="s">
        <v>71</v>
      </c>
      <c r="BH279" s="28" t="s">
        <v>71</v>
      </c>
      <c r="BI279" s="138" t="s">
        <v>71</v>
      </c>
    </row>
    <row r="280" spans="8:61" ht="12">
      <c r="H280" s="78"/>
      <c r="I280" s="74"/>
      <c r="J280" s="74"/>
      <c r="K280" s="83"/>
      <c r="L280" s="83"/>
      <c r="M280" s="83"/>
      <c r="N280" s="83"/>
      <c r="O280" s="83"/>
      <c r="P280" s="81"/>
      <c r="Q280" s="22" t="s">
        <v>104</v>
      </c>
      <c r="S280" s="44">
        <f>T280-X280</f>
        <v>0.11475822677755276</v>
      </c>
      <c r="T280" s="33">
        <f>T252/T279</f>
        <v>0.829720172201722</v>
      </c>
      <c r="U280" s="33">
        <f>U252/U279</f>
        <v>0.7663150573779993</v>
      </c>
      <c r="V280" s="33">
        <f>V252/V279</f>
        <v>0.7646502446847884</v>
      </c>
      <c r="W280" s="33">
        <f>W252/W279</f>
        <v>0.7439993055254134</v>
      </c>
      <c r="X280" s="33">
        <f>X252/X279</f>
        <v>0.7149619454241692</v>
      </c>
      <c r="Y280" s="140">
        <f>AVERAGE(T280:X280)</f>
        <v>0.7639293450428185</v>
      </c>
      <c r="Z280" s="22" t="s">
        <v>54</v>
      </c>
      <c r="AB280" s="44">
        <f t="shared" si="119"/>
        <v>708.2142857142857</v>
      </c>
      <c r="AC280" s="51">
        <f>AC254/AC255</f>
        <v>70.21428571428571</v>
      </c>
      <c r="AD280" s="51">
        <f>AD254/AD255</f>
        <v>65.81818181818181</v>
      </c>
      <c r="AE280" s="51">
        <f>AE254/AE255</f>
        <v>109.2</v>
      </c>
      <c r="AF280" s="51">
        <f>AF254/AF255</f>
        <v>388</v>
      </c>
      <c r="AG280" s="51">
        <f>AG254/AG255</f>
        <v>-638</v>
      </c>
      <c r="AH280" s="140">
        <f t="shared" si="120"/>
        <v>-0.9535064935064839</v>
      </c>
      <c r="AI280" s="22" t="s">
        <v>104</v>
      </c>
      <c r="AJ280" s="25"/>
      <c r="AK280" s="44">
        <f>AL280-AP280</f>
        <v>0.8905802208127787</v>
      </c>
      <c r="AL280" s="33">
        <f>AL252/AL279</f>
        <v>3.219873150105708</v>
      </c>
      <c r="AM280" s="33">
        <f>AM252/AM279</f>
        <v>3.595419847328244</v>
      </c>
      <c r="AN280" s="33">
        <f>AN252/AN279</f>
        <v>2.9349206349206347</v>
      </c>
      <c r="AO280" s="33">
        <f>AO252/AO279</f>
        <v>3.386029411764706</v>
      </c>
      <c r="AP280" s="33">
        <f>AP252/AP279</f>
        <v>2.3292929292929294</v>
      </c>
      <c r="AQ280" s="140">
        <f>AVERAGE(AL280:AP280)</f>
        <v>3.0931071946824447</v>
      </c>
      <c r="AR280" s="64" t="s">
        <v>54</v>
      </c>
      <c r="AS280" s="60"/>
      <c r="AT280" s="132">
        <f t="shared" si="121"/>
        <v>33.225671272890686</v>
      </c>
      <c r="AU280" s="72">
        <f>AU254/-AU255</f>
        <v>-43.9975845410628</v>
      </c>
      <c r="AV280" s="72">
        <f>AV254/-AV255</f>
        <v>-44.346456692913385</v>
      </c>
      <c r="AW280" s="72">
        <f>AW254/-AW255</f>
        <v>-44.645714285714284</v>
      </c>
      <c r="AX280" s="72">
        <f>AX254/-AX255</f>
        <v>-69.88559322033899</v>
      </c>
      <c r="AY280" s="72">
        <f>AY254/-AY255</f>
        <v>-77.22325581395349</v>
      </c>
      <c r="AZ280" s="140">
        <f t="shared" si="122"/>
        <v>-56.01972091079659</v>
      </c>
      <c r="BA280" s="22"/>
      <c r="BB280" s="22"/>
      <c r="BC280" s="22"/>
      <c r="BD280" s="28" t="s">
        <v>38</v>
      </c>
      <c r="BE280" s="28" t="s">
        <v>38</v>
      </c>
      <c r="BF280" s="28" t="s">
        <v>38</v>
      </c>
      <c r="BG280" s="28" t="s">
        <v>38</v>
      </c>
      <c r="BH280" s="28" t="s">
        <v>38</v>
      </c>
      <c r="BI280" s="143" t="s">
        <v>38</v>
      </c>
    </row>
    <row r="281" spans="8:61" ht="12">
      <c r="H281" s="78"/>
      <c r="I281" s="74"/>
      <c r="J281" s="74"/>
      <c r="K281" s="84" t="s">
        <v>105</v>
      </c>
      <c r="L281" s="84" t="s">
        <v>105</v>
      </c>
      <c r="M281" s="84" t="s">
        <v>105</v>
      </c>
      <c r="N281" s="84" t="s">
        <v>105</v>
      </c>
      <c r="O281" s="84" t="s">
        <v>105</v>
      </c>
      <c r="P281" s="85" t="s">
        <v>105</v>
      </c>
      <c r="Q281" s="22"/>
      <c r="T281" s="33"/>
      <c r="U281" s="33"/>
      <c r="V281" s="33"/>
      <c r="W281" s="33"/>
      <c r="X281" s="33"/>
      <c r="Y281" s="140"/>
      <c r="Z281" s="22" t="s">
        <v>97</v>
      </c>
      <c r="AB281" s="44">
        <f t="shared" si="119"/>
        <v>18.57795622287687</v>
      </c>
      <c r="AC281" s="51">
        <f>(AC257/AC250)*100</f>
        <v>11.470113085621971</v>
      </c>
      <c r="AD281" s="51">
        <f>(AD257/AD250)*100</f>
        <v>13.503649635036496</v>
      </c>
      <c r="AE281" s="51">
        <f>(AE257/AE250)*100</f>
        <v>5.932203389830509</v>
      </c>
      <c r="AF281" s="51">
        <f>(AF257/AF250)*100</f>
        <v>4.824561403508771</v>
      </c>
      <c r="AG281" s="51">
        <f>(AG257/AG250)*100</f>
        <v>-7.107843137254902</v>
      </c>
      <c r="AH281" s="140">
        <f t="shared" si="120"/>
        <v>5.724536875348569</v>
      </c>
      <c r="AI281" s="22"/>
      <c r="AJ281" s="25"/>
      <c r="AK281" s="25"/>
      <c r="AL281" s="33"/>
      <c r="AM281" s="33"/>
      <c r="AN281" s="33"/>
      <c r="AO281" s="33"/>
      <c r="AP281" s="33"/>
      <c r="AQ281" s="140"/>
      <c r="AR281" s="64" t="s">
        <v>97</v>
      </c>
      <c r="AS281" s="60"/>
      <c r="AT281" s="132">
        <f t="shared" si="121"/>
        <v>2.2349563318581147</v>
      </c>
      <c r="AU281" s="72">
        <f>(AU257/AU250)*100</f>
        <v>56.98590381426202</v>
      </c>
      <c r="AV281" s="72">
        <f>(AV257/AV250)*100</f>
        <v>63.61955085865257</v>
      </c>
      <c r="AW281" s="72">
        <f>(AW257/AW250)*100</f>
        <v>67.74465218123632</v>
      </c>
      <c r="AX281" s="72">
        <f>(AX257/AX250)*100</f>
        <v>74.22467263955892</v>
      </c>
      <c r="AY281" s="72">
        <f>(AY257/AY250)*100</f>
        <v>54.7509474824039</v>
      </c>
      <c r="AZ281" s="140">
        <f t="shared" si="122"/>
        <v>63.465145395222734</v>
      </c>
      <c r="BA281" s="22" t="s">
        <v>102</v>
      </c>
      <c r="BB281" s="25"/>
      <c r="BC281" s="132">
        <f>BD281-BH281</f>
        <v>9538</v>
      </c>
      <c r="BD281" s="42">
        <f>BD248-BD249</f>
        <v>36576</v>
      </c>
      <c r="BE281" s="42">
        <f>BE248-BE249</f>
        <v>35374</v>
      </c>
      <c r="BF281" s="42">
        <f>BF248-BF249</f>
        <v>28760</v>
      </c>
      <c r="BG281" s="42">
        <f>BG248-BG249</f>
        <v>25458</v>
      </c>
      <c r="BH281" s="42">
        <f>BH248-BH249</f>
        <v>27038</v>
      </c>
      <c r="BI281" s="53">
        <f>AVERAGE(BD281:BH281)</f>
        <v>30641.2</v>
      </c>
    </row>
    <row r="282" spans="8:61" ht="12">
      <c r="H282" s="78" t="s">
        <v>53</v>
      </c>
      <c r="I282" s="74"/>
      <c r="J282" s="74"/>
      <c r="K282" s="86">
        <f>(K251/K277)*100</f>
        <v>38.53491720662347</v>
      </c>
      <c r="L282" s="86">
        <f>(L251/L277)*100</f>
        <v>28.429013406668957</v>
      </c>
      <c r="M282" s="86">
        <f>(M251/M277)*100</f>
        <v>54.53768951526799</v>
      </c>
      <c r="N282" s="86">
        <f>(N251/N277)*100</f>
        <v>34.12874583795782</v>
      </c>
      <c r="O282" s="86" t="e">
        <f>(O251/O277)*100</f>
        <v>#DIV/0!</v>
      </c>
      <c r="P282" s="81" t="e">
        <f aca="true" t="shared" si="123" ref="P282:P288">AVERAGE(K282:O282)</f>
        <v>#DIV/0!</v>
      </c>
      <c r="Q282" s="22"/>
      <c r="T282" s="48" t="s">
        <v>105</v>
      </c>
      <c r="U282" s="48" t="s">
        <v>105</v>
      </c>
      <c r="V282" s="48" t="s">
        <v>105</v>
      </c>
      <c r="W282" s="48" t="s">
        <v>105</v>
      </c>
      <c r="X282" s="48" t="s">
        <v>105</v>
      </c>
      <c r="Y282" s="141" t="s">
        <v>105</v>
      </c>
      <c r="Z282" s="22" t="s">
        <v>86</v>
      </c>
      <c r="AB282" s="44">
        <f t="shared" si="119"/>
        <v>4.6048761431396805</v>
      </c>
      <c r="AC282" s="51">
        <f>(AC254/AC252)*100</f>
        <v>32.27183191070256</v>
      </c>
      <c r="AD282" s="51">
        <f>(AD254/AD252)*100</f>
        <v>30.743099787685775</v>
      </c>
      <c r="AE282" s="51">
        <f>(AE254/AE252)*100</f>
        <v>29.529475392103837</v>
      </c>
      <c r="AF282" s="51">
        <f>(AF254/AF252)*100</f>
        <v>21.064060803474487</v>
      </c>
      <c r="AG282" s="51">
        <f>(AG254/AG252)*100</f>
        <v>27.66695576756288</v>
      </c>
      <c r="AH282" s="140">
        <f t="shared" si="120"/>
        <v>28.25508473230591</v>
      </c>
      <c r="AI282" s="22"/>
      <c r="AJ282" s="25"/>
      <c r="AK282" s="25"/>
      <c r="AL282" s="48" t="s">
        <v>105</v>
      </c>
      <c r="AM282" s="48" t="s">
        <v>105</v>
      </c>
      <c r="AN282" s="48" t="s">
        <v>105</v>
      </c>
      <c r="AO282" s="48" t="s">
        <v>105</v>
      </c>
      <c r="AP282" s="48" t="s">
        <v>105</v>
      </c>
      <c r="AQ282" s="141" t="s">
        <v>105</v>
      </c>
      <c r="AR282" s="64" t="s">
        <v>86</v>
      </c>
      <c r="AS282" s="60"/>
      <c r="AT282" s="132">
        <f t="shared" si="121"/>
        <v>0.15668467205942704</v>
      </c>
      <c r="AU282" s="72">
        <f>(AU254/AU252)*100</f>
        <v>78.42841765339075</v>
      </c>
      <c r="AV282" s="72">
        <f>(AV254/AV252)*100</f>
        <v>78.005540166205</v>
      </c>
      <c r="AW282" s="72">
        <f>(AW254/AW252)*100</f>
        <v>78.18472931051737</v>
      </c>
      <c r="AX282" s="72">
        <f>(AX254/AX252)*100</f>
        <v>78.27717133364975</v>
      </c>
      <c r="AY282" s="72">
        <f>(AY254/AY252)*100</f>
        <v>78.27173298133133</v>
      </c>
      <c r="AZ282" s="140">
        <f t="shared" si="122"/>
        <v>78.23351828901885</v>
      </c>
      <c r="BA282" s="22" t="s">
        <v>104</v>
      </c>
      <c r="BB282" s="25"/>
      <c r="BC282" s="44">
        <f>BD282-BH282</f>
        <v>-0.2990925226134218</v>
      </c>
      <c r="BD282" s="33">
        <f>BD253/BD281</f>
        <v>1.269958442694663</v>
      </c>
      <c r="BE282" s="33">
        <f>BE253/BE281</f>
        <v>1.2246282580426302</v>
      </c>
      <c r="BF282" s="33">
        <f>BF253/BF281</f>
        <v>1.389847009735744</v>
      </c>
      <c r="BG282" s="33">
        <f>BG253/BG281</f>
        <v>1.6552753554874695</v>
      </c>
      <c r="BH282" s="33">
        <f>BH253/BH281</f>
        <v>1.5690509653080849</v>
      </c>
      <c r="BI282" s="140">
        <f>AVERAGE(BD282:BH282)</f>
        <v>1.4217520062537183</v>
      </c>
    </row>
    <row r="283" spans="8:61" ht="12">
      <c r="H283" s="78" t="s">
        <v>54</v>
      </c>
      <c r="I283" s="74"/>
      <c r="J283" s="74"/>
      <c r="K283" s="86">
        <f>K256/-K257</f>
        <v>-3.8260869565217392</v>
      </c>
      <c r="L283" s="86">
        <f>L256/-L257</f>
        <v>-7.1521739130434785</v>
      </c>
      <c r="M283" s="86">
        <f>M256/-M257</f>
        <v>-3.0425531914893615</v>
      </c>
      <c r="N283" s="86">
        <f>N256/-N257</f>
        <v>-4.857142857142857</v>
      </c>
      <c r="O283" s="86" t="e">
        <f>O256/-O257</f>
        <v>#DIV/0!</v>
      </c>
      <c r="P283" s="81" t="e">
        <f t="shared" si="123"/>
        <v>#DIV/0!</v>
      </c>
      <c r="Q283" s="22" t="s">
        <v>53</v>
      </c>
      <c r="S283" s="44">
        <f aca="true" t="shared" si="124" ref="S283:S289">T283-X283</f>
        <v>-11.387744481213133</v>
      </c>
      <c r="T283" s="51">
        <f>(T249/T279)*100</f>
        <v>52.14483394833949</v>
      </c>
      <c r="U283" s="51">
        <f>(U249/U279)*100</f>
        <v>57.350952436150074</v>
      </c>
      <c r="V283" s="51">
        <f>(V249/V279)*100</f>
        <v>56.07599621663857</v>
      </c>
      <c r="W283" s="51">
        <f>(W249/W279)*100</f>
        <v>58.782933287035036</v>
      </c>
      <c r="X283" s="51">
        <f>(X249/X279)*100</f>
        <v>63.53257842955262</v>
      </c>
      <c r="Y283" s="140">
        <f aca="true" t="shared" si="125" ref="Y283:Y289">AVERAGE(T283:X283)</f>
        <v>57.57745886354316</v>
      </c>
      <c r="Z283" s="22" t="s">
        <v>23</v>
      </c>
      <c r="AB283" s="44">
        <f t="shared" si="119"/>
        <v>-0.46976878612716755</v>
      </c>
      <c r="AC283" s="51">
        <f>AC246/AC248</f>
        <v>0.9202312138728324</v>
      </c>
      <c r="AD283" s="51">
        <f>AD246/AD248</f>
        <v>0.8817891373801917</v>
      </c>
      <c r="AE283" s="51">
        <f>AE246/AE248</f>
        <v>1.0612745098039216</v>
      </c>
      <c r="AF283" s="51">
        <f>AF246/AF248</f>
        <v>1.1163636363636364</v>
      </c>
      <c r="AG283" s="51">
        <f>AG246/AG248</f>
        <v>1.39</v>
      </c>
      <c r="AH283" s="140">
        <f t="shared" si="120"/>
        <v>1.0739316994841164</v>
      </c>
      <c r="AI283" s="22" t="s">
        <v>53</v>
      </c>
      <c r="AJ283" s="25"/>
      <c r="AK283" s="44">
        <f aca="true" t="shared" si="126" ref="AK283:AK289">AL283-AP283</f>
        <v>68.22645055203196</v>
      </c>
      <c r="AL283" s="51">
        <f>(AL249/AL279)*100</f>
        <v>126.00422832980973</v>
      </c>
      <c r="AM283" s="51">
        <f>(AM249/AM279)*100</f>
        <v>111.90839694656489</v>
      </c>
      <c r="AN283" s="51">
        <f>(AN249/AN279)*100</f>
        <v>89.84126984126985</v>
      </c>
      <c r="AO283" s="51">
        <f>(AO249/AO279)*100</f>
        <v>66.54411764705883</v>
      </c>
      <c r="AP283" s="51">
        <f>(AP249/AP279)*100</f>
        <v>57.77777777777777</v>
      </c>
      <c r="AQ283" s="140">
        <f aca="true" t="shared" si="127" ref="AQ283:AQ289">AVERAGE(AL283:AP283)</f>
        <v>90.41515810849621</v>
      </c>
      <c r="AR283" s="64" t="s">
        <v>23</v>
      </c>
      <c r="AS283" s="60"/>
      <c r="AT283" s="132">
        <f t="shared" si="121"/>
        <v>0.2926397231322586</v>
      </c>
      <c r="AU283" s="72">
        <f>AU246/AU248</f>
        <v>1.5130075705437027</v>
      </c>
      <c r="AV283" s="72">
        <f>AV246/AV248</f>
        <v>1.3854484281358428</v>
      </c>
      <c r="AW283" s="72">
        <f>AW246/AW248</f>
        <v>1.2587575899112564</v>
      </c>
      <c r="AX283" s="72">
        <f>AX246/AX248</f>
        <v>1.490378939912643</v>
      </c>
      <c r="AY283" s="72">
        <f>AY246/AY248</f>
        <v>1.220367847411444</v>
      </c>
      <c r="AZ283" s="140">
        <f t="shared" si="122"/>
        <v>1.3735920751829778</v>
      </c>
      <c r="BA283" s="22"/>
      <c r="BB283" s="25"/>
      <c r="BC283" s="25"/>
      <c r="BD283" s="33"/>
      <c r="BE283" s="33"/>
      <c r="BF283" s="33"/>
      <c r="BG283" s="33"/>
      <c r="BH283" s="33"/>
      <c r="BI283" s="140"/>
    </row>
    <row r="284" spans="8:61" ht="12">
      <c r="H284" s="78" t="s">
        <v>97</v>
      </c>
      <c r="I284" s="74"/>
      <c r="J284" s="74"/>
      <c r="K284" s="86">
        <f>(K259/K252)*100</f>
        <v>7.018653177363262</v>
      </c>
      <c r="L284" s="86">
        <f>(L259/L252)*100</f>
        <v>6.838124054462935</v>
      </c>
      <c r="M284" s="86">
        <f>(M259/M252)*100</f>
        <v>4.59954969443551</v>
      </c>
      <c r="N284" s="86" t="e">
        <f>(N259/N252)*100</f>
        <v>#DIV/0!</v>
      </c>
      <c r="O284" s="86" t="e">
        <f>(O259/O252)*100</f>
        <v>#DIV/0!</v>
      </c>
      <c r="P284" s="81" t="e">
        <f t="shared" si="123"/>
        <v>#DIV/0!</v>
      </c>
      <c r="Q284" s="22" t="s">
        <v>54</v>
      </c>
      <c r="S284" s="44">
        <f t="shared" si="124"/>
        <v>4.467764857881137</v>
      </c>
      <c r="T284" s="51">
        <f>T254/T255</f>
        <v>10.337209302325581</v>
      </c>
      <c r="U284" s="51">
        <f>U254/U255</f>
        <v>10.238461538461538</v>
      </c>
      <c r="V284" s="51">
        <f>V254/V255</f>
        <v>9.562162162162162</v>
      </c>
      <c r="W284" s="51">
        <f>W254/W255</f>
        <v>6.634660421545667</v>
      </c>
      <c r="X284" s="51">
        <f>X254/X255</f>
        <v>5.8694444444444445</v>
      </c>
      <c r="Y284" s="140">
        <f t="shared" si="125"/>
        <v>8.528387573787878</v>
      </c>
      <c r="Z284" s="22" t="s">
        <v>49</v>
      </c>
      <c r="AB284" s="44">
        <f t="shared" si="119"/>
        <v>-58.78787878787878</v>
      </c>
      <c r="AC284" s="51">
        <f>((AC257-AC255-AC256)/AC275)*100</f>
        <v>4.545454545454546</v>
      </c>
      <c r="AD284" s="51">
        <f>((AD257-AD255-AD256)/AD275)*100</f>
        <v>7.786259541984733</v>
      </c>
      <c r="AE284" s="51">
        <f>((AE254-AE255-AE256)/AE275)*100</f>
        <v>83.17460317460318</v>
      </c>
      <c r="AF284" s="51">
        <f>((AF254-AF255-AF256)/AF275)*100</f>
        <v>68.93382352941177</v>
      </c>
      <c r="AG284" s="51">
        <f>((AG254-AG255-AG256)/AG275)*100</f>
        <v>63.33333333333333</v>
      </c>
      <c r="AH284" s="140">
        <f t="shared" si="120"/>
        <v>45.55469482495751</v>
      </c>
      <c r="AI284" s="22" t="s">
        <v>54</v>
      </c>
      <c r="AJ284" s="25"/>
      <c r="AK284" s="44">
        <f t="shared" si="126"/>
        <v>708.2142857142857</v>
      </c>
      <c r="AL284" s="51">
        <f>AL254/AL255</f>
        <v>70.21428571428571</v>
      </c>
      <c r="AM284" s="51">
        <f>AM254/AM255</f>
        <v>65.81818181818181</v>
      </c>
      <c r="AN284" s="51">
        <f>AN254/AN255</f>
        <v>109.2</v>
      </c>
      <c r="AO284" s="51">
        <f>AO254/AO255</f>
        <v>388</v>
      </c>
      <c r="AP284" s="51">
        <f>AP254/AP255</f>
        <v>-638</v>
      </c>
      <c r="AQ284" s="140">
        <f t="shared" si="127"/>
        <v>-0.9535064935064839</v>
      </c>
      <c r="AR284" s="64" t="s">
        <v>49</v>
      </c>
      <c r="AS284" s="60"/>
      <c r="AT284" s="132">
        <f t="shared" si="121"/>
        <v>-102.37322175193373</v>
      </c>
      <c r="AU284" s="72">
        <f>((AU257-AU255-AU256)/AU275)*100</f>
        <v>6.769466316710411</v>
      </c>
      <c r="AV284" s="72">
        <f>((AV257-AV255-AV256)/AV275)*100</f>
        <v>15.423757562051224</v>
      </c>
      <c r="AW284" s="72">
        <f>((AW254-AW255-AW256)/AW275)*100</f>
        <v>95.22253129346313</v>
      </c>
      <c r="AX284" s="72">
        <f>((AX254-AX255-AX256)/AX275)*100</f>
        <v>112.65613952392175</v>
      </c>
      <c r="AY284" s="72">
        <f>((AY254-AY255-AY256)/AY275)*100</f>
        <v>109.14268806864413</v>
      </c>
      <c r="AZ284" s="140">
        <f t="shared" si="122"/>
        <v>67.84291655295813</v>
      </c>
      <c r="BA284" s="22"/>
      <c r="BB284" s="25"/>
      <c r="BC284" s="25"/>
      <c r="BD284" s="48" t="s">
        <v>105</v>
      </c>
      <c r="BE284" s="48" t="s">
        <v>105</v>
      </c>
      <c r="BF284" s="48" t="s">
        <v>105</v>
      </c>
      <c r="BG284" s="48" t="s">
        <v>105</v>
      </c>
      <c r="BH284" s="48" t="s">
        <v>105</v>
      </c>
      <c r="BI284" s="141" t="s">
        <v>105</v>
      </c>
    </row>
    <row r="285" spans="8:61" ht="12">
      <c r="H285" s="78" t="s">
        <v>86</v>
      </c>
      <c r="I285" s="74"/>
      <c r="J285" s="74"/>
      <c r="K285" s="86">
        <f>(K256/K254)*100</f>
        <v>12.104539202200826</v>
      </c>
      <c r="L285" s="86">
        <f>(L256/L254)*100</f>
        <v>14.981785063752277</v>
      </c>
      <c r="M285" s="86">
        <f>(M256/M254)*100</f>
        <v>6.965416463711642</v>
      </c>
      <c r="N285" s="86">
        <f>(N256/N254)*100</f>
        <v>7.75812892184826</v>
      </c>
      <c r="O285" s="86" t="e">
        <f>(O256/O254)*100</f>
        <v>#DIV/0!</v>
      </c>
      <c r="P285" s="81" t="e">
        <f t="shared" si="123"/>
        <v>#DIV/0!</v>
      </c>
      <c r="Q285" s="22" t="s">
        <v>97</v>
      </c>
      <c r="S285" s="44">
        <f t="shared" si="124"/>
        <v>14.230987753632565</v>
      </c>
      <c r="T285" s="51">
        <f>(T257/T250)*100</f>
        <v>22.926639927545608</v>
      </c>
      <c r="U285" s="51">
        <f>(U257/U250)*100</f>
        <v>17.179453321008847</v>
      </c>
      <c r="V285" s="51">
        <f>(V257/V250)*100</f>
        <v>16.047035628784677</v>
      </c>
      <c r="W285" s="51">
        <f>(W257/W250)*100</f>
        <v>12.27674845601736</v>
      </c>
      <c r="X285" s="51">
        <f>(X257/X250)*100</f>
        <v>8.695652173913043</v>
      </c>
      <c r="Y285" s="140">
        <f t="shared" si="125"/>
        <v>15.42510590145391</v>
      </c>
      <c r="Z285" s="22" t="s">
        <v>50</v>
      </c>
      <c r="AB285" s="44">
        <f t="shared" si="119"/>
        <v>-25.778251829849218</v>
      </c>
      <c r="AC285" s="51">
        <f>((AC257-AC255-AC256)/AC252)*100</f>
        <v>1.4116874589625739</v>
      </c>
      <c r="AD285" s="51">
        <f>((AD257-AD255-AD256)/AD252)*100</f>
        <v>2.1656050955414012</v>
      </c>
      <c r="AE285" s="51">
        <f>((AE254-AE255-AE256)/AE252)*100</f>
        <v>28.339643050297457</v>
      </c>
      <c r="AF285" s="51">
        <f>((AF254-AF255-AF256)/AF252)*100</f>
        <v>20.35830618892508</v>
      </c>
      <c r="AG285" s="51">
        <f>((AG254-AG255-AG256)/AG252)*100</f>
        <v>27.189939288811793</v>
      </c>
      <c r="AH285" s="140">
        <f t="shared" si="120"/>
        <v>15.893036216507658</v>
      </c>
      <c r="AI285" s="22" t="s">
        <v>97</v>
      </c>
      <c r="AJ285" s="25"/>
      <c r="AK285" s="44">
        <f t="shared" si="126"/>
        <v>18.57795622287687</v>
      </c>
      <c r="AL285" s="51">
        <f>(AL257/AL250)*100</f>
        <v>11.470113085621971</v>
      </c>
      <c r="AM285" s="51">
        <f>(AM257/AM250)*100</f>
        <v>13.503649635036496</v>
      </c>
      <c r="AN285" s="51">
        <f>(AN257/AN250)*100</f>
        <v>5.932203389830509</v>
      </c>
      <c r="AO285" s="51">
        <f>(AO257/AO250)*100</f>
        <v>4.824561403508771</v>
      </c>
      <c r="AP285" s="51">
        <f>(AP257/AP250)*100</f>
        <v>-7.107843137254902</v>
      </c>
      <c r="AQ285" s="140">
        <f t="shared" si="127"/>
        <v>5.724536875348569</v>
      </c>
      <c r="AR285" s="64" t="s">
        <v>50</v>
      </c>
      <c r="AS285" s="60"/>
      <c r="AT285" s="132">
        <f t="shared" si="121"/>
        <v>-64.22922033489584</v>
      </c>
      <c r="AU285" s="72">
        <f>((AU257-AU255-AU256)/AU252)*100</f>
        <v>5.330462863293865</v>
      </c>
      <c r="AV285" s="72">
        <f>((AV257-AV255-AV256)/AV252)*100</f>
        <v>12.594644506001847</v>
      </c>
      <c r="AW285" s="72">
        <f>((AW254-AW255-AW256)/AW252)*100</f>
        <v>68.51295907134994</v>
      </c>
      <c r="AX285" s="72">
        <f>((AX254-AX255-AX256)/AX252)*100</f>
        <v>68.05885144755577</v>
      </c>
      <c r="AY285" s="72">
        <f>((AY254-AY255-AY256)/AY252)*100</f>
        <v>69.5596831981897</v>
      </c>
      <c r="AZ285" s="140">
        <f t="shared" si="122"/>
        <v>44.81132021727823</v>
      </c>
      <c r="BA285" s="22" t="s">
        <v>53</v>
      </c>
      <c r="BB285" s="25"/>
      <c r="BC285" s="44">
        <f aca="true" t="shared" si="128" ref="BC285:BC291">BD285-BH285</f>
        <v>-47.929433443110455</v>
      </c>
      <c r="BD285" s="51">
        <f>(BD250/BD281)*100</f>
        <v>86.9695975503062</v>
      </c>
      <c r="BE285" s="51">
        <f>(BE250/BE281)*100</f>
        <v>110.97416181376151</v>
      </c>
      <c r="BF285" s="51">
        <f>(BF250/BF281)*100</f>
        <v>118.26842837273992</v>
      </c>
      <c r="BG285" s="51">
        <f>(BG250/BG281)*100</f>
        <v>97.05397124675936</v>
      </c>
      <c r="BH285" s="51">
        <f>(BH250/BH281)*100</f>
        <v>134.89903099341666</v>
      </c>
      <c r="BI285" s="140">
        <f aca="true" t="shared" si="129" ref="BI285:BI291">AVERAGE(BD285:BH285)</f>
        <v>109.63303799539673</v>
      </c>
    </row>
    <row r="286" spans="8:61" ht="12">
      <c r="H286" s="78" t="s">
        <v>23</v>
      </c>
      <c r="I286" s="74"/>
      <c r="J286" s="74"/>
      <c r="K286" s="86">
        <f>K248/K250</f>
        <v>3.457350272232305</v>
      </c>
      <c r="L286" s="86">
        <f>L248/L250</f>
        <v>7.1298076923076925</v>
      </c>
      <c r="M286" s="86">
        <f>M248/M250</f>
        <v>1.333673469387755</v>
      </c>
      <c r="N286" s="86">
        <f>N248/N250</f>
        <v>1.310077519379845</v>
      </c>
      <c r="O286" s="86" t="e">
        <f>O248/O250</f>
        <v>#DIV/0!</v>
      </c>
      <c r="P286" s="81" t="e">
        <f t="shared" si="123"/>
        <v>#DIV/0!</v>
      </c>
      <c r="Q286" s="22" t="s">
        <v>86</v>
      </c>
      <c r="S286" s="44">
        <f t="shared" si="124"/>
        <v>6.876614858445992</v>
      </c>
      <c r="T286" s="51">
        <f>(T254/T252)*100</f>
        <v>20.592050403039007</v>
      </c>
      <c r="U286" s="51">
        <f>(U254/U252)*100</f>
        <v>20.133111480865225</v>
      </c>
      <c r="V286" s="51">
        <f>(V254/V252)*100</f>
        <v>19.02764332580402</v>
      </c>
      <c r="W286" s="51">
        <f>(W254/W252)*100</f>
        <v>16.527623825914475</v>
      </c>
      <c r="X286" s="51">
        <f>(X254/X252)*100</f>
        <v>13.715435544593015</v>
      </c>
      <c r="Y286" s="140">
        <f t="shared" si="125"/>
        <v>17.99917291604315</v>
      </c>
      <c r="AH286" s="137"/>
      <c r="AI286" s="22" t="s">
        <v>86</v>
      </c>
      <c r="AJ286" s="25"/>
      <c r="AK286" s="44">
        <f t="shared" si="126"/>
        <v>4.6048761431396805</v>
      </c>
      <c r="AL286" s="51">
        <f>(AL254/AL252)*100</f>
        <v>32.27183191070256</v>
      </c>
      <c r="AM286" s="51">
        <f>(AM254/AM252)*100</f>
        <v>30.743099787685775</v>
      </c>
      <c r="AN286" s="51">
        <f>(AN254/AN252)*100</f>
        <v>29.529475392103837</v>
      </c>
      <c r="AO286" s="51">
        <f>(AO254/AO252)*100</f>
        <v>21.064060803474487</v>
      </c>
      <c r="AP286" s="51">
        <f>(AP254/AP252)*100</f>
        <v>27.66695576756288</v>
      </c>
      <c r="AQ286" s="140">
        <f t="shared" si="127"/>
        <v>28.25508473230591</v>
      </c>
      <c r="AR286" s="60"/>
      <c r="AS286" s="60"/>
      <c r="AT286" s="60"/>
      <c r="AU286" s="60"/>
      <c r="AV286" s="60"/>
      <c r="AW286" s="60"/>
      <c r="AX286" s="60"/>
      <c r="AY286" s="60"/>
      <c r="AZ286" s="137"/>
      <c r="BA286" s="22" t="s">
        <v>54</v>
      </c>
      <c r="BB286" s="25"/>
      <c r="BC286" s="44">
        <f t="shared" si="128"/>
        <v>-33.225671272890686</v>
      </c>
      <c r="BD286" s="51">
        <f>BD255/BD256</f>
        <v>43.9975845410628</v>
      </c>
      <c r="BE286" s="51">
        <f>BE255/BE256</f>
        <v>44.346456692913385</v>
      </c>
      <c r="BF286" s="51">
        <f>BF255/BF256</f>
        <v>44.645714285714284</v>
      </c>
      <c r="BG286" s="51">
        <f>BG255/BG256</f>
        <v>69.88559322033899</v>
      </c>
      <c r="BH286" s="51">
        <f>BH255/BH256</f>
        <v>77.22325581395349</v>
      </c>
      <c r="BI286" s="140">
        <f t="shared" si="129"/>
        <v>56.01972091079659</v>
      </c>
    </row>
    <row r="287" spans="8:61" ht="12">
      <c r="H287" s="78" t="s">
        <v>49</v>
      </c>
      <c r="I287" s="74"/>
      <c r="J287" s="74"/>
      <c r="K287" s="86">
        <f>((K259-K257-K258)/K277)*100</f>
        <v>1.565874730021598</v>
      </c>
      <c r="L287" s="86">
        <f>((L259-L257-L258)/L277)*100</f>
        <v>1.6328635269852183</v>
      </c>
      <c r="M287" s="86">
        <f>((M256-M257-M258)/M277)*100</f>
        <v>1.5161221439248345</v>
      </c>
      <c r="N287" s="86">
        <f>((N256-N257-N258)/N277)*100</f>
        <v>3.9400665926748055</v>
      </c>
      <c r="O287" s="86" t="e">
        <f>((O256-O257-O258)/O277)*100</f>
        <v>#DIV/0!</v>
      </c>
      <c r="P287" s="81" t="e">
        <f t="shared" si="123"/>
        <v>#DIV/0!</v>
      </c>
      <c r="Q287" s="22" t="s">
        <v>23</v>
      </c>
      <c r="S287" s="44">
        <f t="shared" si="124"/>
        <v>0.49702719530193085</v>
      </c>
      <c r="T287" s="51">
        <f>T246/T248</f>
        <v>1.2051196808510638</v>
      </c>
      <c r="U287" s="51">
        <f>U246/U248</f>
        <v>1.513875365141188</v>
      </c>
      <c r="V287" s="51">
        <f>V246/V248</f>
        <v>0.8117012212439648</v>
      </c>
      <c r="W287" s="51">
        <f>W246/W248</f>
        <v>0.7582461786001609</v>
      </c>
      <c r="X287" s="51">
        <f>X246/X248</f>
        <v>0.708092485549133</v>
      </c>
      <c r="Y287" s="140">
        <f t="shared" si="125"/>
        <v>0.999406986277102</v>
      </c>
      <c r="AH287" s="137"/>
      <c r="AI287" s="22" t="s">
        <v>23</v>
      </c>
      <c r="AJ287" s="25"/>
      <c r="AK287" s="44">
        <f t="shared" si="126"/>
        <v>-0.46976878612716755</v>
      </c>
      <c r="AL287" s="51">
        <f>AL246/AL248</f>
        <v>0.9202312138728324</v>
      </c>
      <c r="AM287" s="51">
        <f>AM246/AM248</f>
        <v>0.8817891373801917</v>
      </c>
      <c r="AN287" s="51">
        <f>AN246/AN248</f>
        <v>1.0612745098039216</v>
      </c>
      <c r="AO287" s="51">
        <f>AO246/AO248</f>
        <v>1.1163636363636364</v>
      </c>
      <c r="AP287" s="51">
        <f>AP246/AP248</f>
        <v>1.39</v>
      </c>
      <c r="AQ287" s="140">
        <f t="shared" si="127"/>
        <v>1.0739316994841164</v>
      </c>
      <c r="AR287" s="60"/>
      <c r="AS287" s="60"/>
      <c r="AT287" s="60"/>
      <c r="AU287" s="60"/>
      <c r="AV287" s="60"/>
      <c r="AW287" s="60"/>
      <c r="AX287" s="60"/>
      <c r="AY287" s="60"/>
      <c r="AZ287" s="137"/>
      <c r="BA287" s="22" t="s">
        <v>97</v>
      </c>
      <c r="BB287" s="25"/>
      <c r="BC287" s="44">
        <f t="shared" si="128"/>
        <v>2.2349563318581147</v>
      </c>
      <c r="BD287" s="51">
        <f>(BD258/BD251)*100</f>
        <v>56.98590381426202</v>
      </c>
      <c r="BE287" s="51">
        <f>(BE258/BE251)*100</f>
        <v>63.61955085865257</v>
      </c>
      <c r="BF287" s="51">
        <f>(BF258/BF251)*100</f>
        <v>67.74465218123632</v>
      </c>
      <c r="BG287" s="51">
        <f>(BG258/BG251)*100</f>
        <v>74.22467263955892</v>
      </c>
      <c r="BH287" s="51">
        <f>(BH258/BH251)*100</f>
        <v>54.7509474824039</v>
      </c>
      <c r="BI287" s="140">
        <f t="shared" si="129"/>
        <v>63.465145395222734</v>
      </c>
    </row>
    <row r="288" spans="8:61" ht="12">
      <c r="H288" s="78" t="s">
        <v>50</v>
      </c>
      <c r="I288" s="74"/>
      <c r="J288" s="74"/>
      <c r="K288" s="86">
        <f>((K259-K257-K258)/K254)*100</f>
        <v>3.988995873452544</v>
      </c>
      <c r="L288" s="86">
        <f>((L259-L257-L258)/L254)*100</f>
        <v>4.326047358834244</v>
      </c>
      <c r="M288" s="86">
        <f>((M256-M257-M258)/M254)*100</f>
        <v>3.4583536288358503</v>
      </c>
      <c r="N288" s="86">
        <f>((N256-N257-N258)/N254)*100</f>
        <v>4.050199657729606</v>
      </c>
      <c r="O288" s="86" t="e">
        <f>((O256-O257-O258)/O254)*100</f>
        <v>#DIV/0!</v>
      </c>
      <c r="P288" s="81" t="e">
        <f t="shared" si="123"/>
        <v>#DIV/0!</v>
      </c>
      <c r="Q288" s="22" t="s">
        <v>49</v>
      </c>
      <c r="S288" s="44">
        <f t="shared" si="124"/>
        <v>12.678263448450336</v>
      </c>
      <c r="T288" s="51">
        <f>((T257+T255+T256)/T279)*100</f>
        <v>21.152367773677735</v>
      </c>
      <c r="U288" s="51">
        <f>((U257+U255+U256)/U279)*100</f>
        <v>14.632355782234072</v>
      </c>
      <c r="V288" s="51">
        <f>((V257+V255+V256)/V279)*100</f>
        <v>15.079985195542214</v>
      </c>
      <c r="W288" s="51">
        <f>((W257+W255+W256)/W279)*100</f>
        <v>10.881548678328052</v>
      </c>
      <c r="X288" s="51">
        <f>((X257+X255+X256)/X279)*100</f>
        <v>8.4741043252274</v>
      </c>
      <c r="Y288" s="140">
        <f t="shared" si="125"/>
        <v>14.044072351001896</v>
      </c>
      <c r="AH288" s="137"/>
      <c r="AI288" s="22" t="s">
        <v>49</v>
      </c>
      <c r="AJ288" s="25"/>
      <c r="AK288" s="44">
        <f t="shared" si="126"/>
        <v>15.212591026544516</v>
      </c>
      <c r="AL288" s="51">
        <f>((AL257+AL255+AL256)/AL279)*100</f>
        <v>10.465116279069768</v>
      </c>
      <c r="AM288" s="51">
        <f>((AM257+AM255+AM256)/AM279)*100</f>
        <v>14.80916030534351</v>
      </c>
      <c r="AN288" s="51">
        <f>((AN257+AN255+AN256)/AN279)*100</f>
        <v>7.936507936507936</v>
      </c>
      <c r="AO288" s="51">
        <f>((AO257+AO255+AO256)/AO279)*100</f>
        <v>6.4338235294117645</v>
      </c>
      <c r="AP288" s="51">
        <f>((AP257+AP255+AP256)/AP279)*100</f>
        <v>-4.747474747474747</v>
      </c>
      <c r="AQ288" s="140">
        <f t="shared" si="127"/>
        <v>6.9794266605716455</v>
      </c>
      <c r="AR288" s="60"/>
      <c r="AS288" s="60"/>
      <c r="AT288" s="60"/>
      <c r="AU288" s="60"/>
      <c r="AV288" s="60"/>
      <c r="AW288" s="60"/>
      <c r="AX288" s="60"/>
      <c r="AY288" s="60"/>
      <c r="AZ288" s="137"/>
      <c r="BA288" s="22" t="s">
        <v>86</v>
      </c>
      <c r="BB288" s="25"/>
      <c r="BC288" s="44">
        <f t="shared" si="128"/>
        <v>0.15668467205942704</v>
      </c>
      <c r="BD288" s="51">
        <f>(BD255/BD253)*100</f>
        <v>78.42841765339075</v>
      </c>
      <c r="BE288" s="51">
        <f>(BE255/BE253)*100</f>
        <v>78.005540166205</v>
      </c>
      <c r="BF288" s="51">
        <f>(BF255/BF253)*100</f>
        <v>78.18472931051737</v>
      </c>
      <c r="BG288" s="51">
        <f>(BG255/BG253)*100</f>
        <v>78.27717133364975</v>
      </c>
      <c r="BH288" s="51">
        <f>(BH255/BH253)*100</f>
        <v>78.27173298133133</v>
      </c>
      <c r="BI288" s="140">
        <f t="shared" si="129"/>
        <v>78.23351828901885</v>
      </c>
    </row>
    <row r="289" spans="8:61" ht="12">
      <c r="H289" s="74"/>
      <c r="I289" s="74"/>
      <c r="J289" s="74"/>
      <c r="K289" s="74"/>
      <c r="L289" s="74"/>
      <c r="M289" s="74"/>
      <c r="N289" s="74"/>
      <c r="O289" s="74"/>
      <c r="P289" s="75"/>
      <c r="Q289" s="22" t="s">
        <v>50</v>
      </c>
      <c r="S289" s="44">
        <f t="shared" si="124"/>
        <v>13.640850345602301</v>
      </c>
      <c r="T289" s="51">
        <f>((T257+T255+T256)/T252)*100</f>
        <v>25.493375335865835</v>
      </c>
      <c r="U289" s="51">
        <f>((U257+U255+U256)/U252)*100</f>
        <v>19.09443856199264</v>
      </c>
      <c r="V289" s="51">
        <f>((V257+V255+V256)/V252)*100</f>
        <v>19.721415510379693</v>
      </c>
      <c r="W289" s="51">
        <f>((W257+W255+W256)/W252)*100</f>
        <v>14.62575112303833</v>
      </c>
      <c r="X289" s="51">
        <f>((X257+X255+X256)/X252)*100</f>
        <v>11.852524990263534</v>
      </c>
      <c r="Y289" s="140">
        <f t="shared" si="125"/>
        <v>18.157501104308004</v>
      </c>
      <c r="AH289" s="137"/>
      <c r="AI289" s="22" t="s">
        <v>50</v>
      </c>
      <c r="AJ289" s="25"/>
      <c r="AK289" s="44">
        <f t="shared" si="126"/>
        <v>5.288325468004617</v>
      </c>
      <c r="AL289" s="51">
        <f>((AL257+AL255+AL256)/AL252)*100</f>
        <v>3.2501641497045304</v>
      </c>
      <c r="AM289" s="51">
        <f>((AM257+AM255+AM256)/AM252)*100</f>
        <v>4.118895966029724</v>
      </c>
      <c r="AN289" s="51">
        <f>((AN257+AN255+AN256)/AN252)*100</f>
        <v>2.704164413196322</v>
      </c>
      <c r="AO289" s="51">
        <f>((AO257+AO255+AO256)/AO252)*100</f>
        <v>1.9001085776330078</v>
      </c>
      <c r="AP289" s="51">
        <f>((AP257+AP255+AP256)/AP252)*100</f>
        <v>-2.038161318300087</v>
      </c>
      <c r="AQ289" s="140">
        <f t="shared" si="127"/>
        <v>1.9870343576526994</v>
      </c>
      <c r="AR289" s="60"/>
      <c r="AS289" s="60"/>
      <c r="AT289" s="60"/>
      <c r="AU289" s="60"/>
      <c r="AV289" s="60"/>
      <c r="AW289" s="60"/>
      <c r="AX289" s="60"/>
      <c r="AY289" s="60"/>
      <c r="AZ289" s="137"/>
      <c r="BA289" s="22" t="s">
        <v>23</v>
      </c>
      <c r="BB289" s="25"/>
      <c r="BC289" s="44">
        <f t="shared" si="128"/>
        <v>0.2926397231322586</v>
      </c>
      <c r="BD289" s="51">
        <f>BD247/BD249</f>
        <v>1.5130075705437027</v>
      </c>
      <c r="BE289" s="51">
        <f>BE247/BE249</f>
        <v>1.3854484281358428</v>
      </c>
      <c r="BF289" s="51">
        <f>BF247/BF249</f>
        <v>1.2587575899112564</v>
      </c>
      <c r="BG289" s="51">
        <f>BG247/BG249</f>
        <v>1.490378939912643</v>
      </c>
      <c r="BH289" s="51">
        <f>BH247/BH249</f>
        <v>1.220367847411444</v>
      </c>
      <c r="BI289" s="140">
        <f t="shared" si="129"/>
        <v>1.3735920751829778</v>
      </c>
    </row>
    <row r="290" spans="8:61" ht="12">
      <c r="H290" s="74"/>
      <c r="I290" s="74"/>
      <c r="J290" s="74"/>
      <c r="K290" s="74"/>
      <c r="L290" s="74"/>
      <c r="M290" s="74"/>
      <c r="N290" s="74"/>
      <c r="O290" s="74"/>
      <c r="P290" s="75"/>
      <c r="AH290" s="137"/>
      <c r="AI290" s="25"/>
      <c r="AJ290" s="25"/>
      <c r="AK290" s="25"/>
      <c r="AL290" s="25"/>
      <c r="AM290" s="25"/>
      <c r="AN290" s="25"/>
      <c r="AO290" s="25"/>
      <c r="AP290" s="25"/>
      <c r="AQ290" s="137"/>
      <c r="AR290" s="60"/>
      <c r="AS290" s="60"/>
      <c r="AT290" s="60"/>
      <c r="AU290" s="60"/>
      <c r="AV290" s="60"/>
      <c r="AW290" s="60"/>
      <c r="AX290" s="60"/>
      <c r="AY290" s="60"/>
      <c r="AZ290" s="137"/>
      <c r="BA290" s="22" t="s">
        <v>49</v>
      </c>
      <c r="BB290" s="25"/>
      <c r="BC290" s="44">
        <f t="shared" si="128"/>
        <v>9.766890569812738</v>
      </c>
      <c r="BD290" s="51">
        <f>((BD258+BD256+BD257)/BD281)*100</f>
        <v>53.35739282589677</v>
      </c>
      <c r="BE290" s="51">
        <f>((BE258+BE256+BE257)/BE281)*100</f>
        <v>39.03431899134958</v>
      </c>
      <c r="BF290" s="51">
        <f>((BF258+BF256+BF257)/BF281)*100</f>
        <v>41.41168289290682</v>
      </c>
      <c r="BG290" s="51">
        <f>((BG258+BG256+BG257)/BG281)*100</f>
        <v>50.75811139916726</v>
      </c>
      <c r="BH290" s="51">
        <f>((BH258+BH256+BH257)/BH281)*100</f>
        <v>43.59050225608403</v>
      </c>
      <c r="BI290" s="140">
        <f t="shared" si="129"/>
        <v>45.63040167308089</v>
      </c>
    </row>
    <row r="291" spans="8:61" ht="12">
      <c r="H291" s="74"/>
      <c r="I291" s="74"/>
      <c r="J291" s="74"/>
      <c r="K291" s="74"/>
      <c r="L291" s="74"/>
      <c r="M291" s="74"/>
      <c r="N291" s="74"/>
      <c r="O291" s="74"/>
      <c r="P291" s="75"/>
      <c r="AH291" s="137"/>
      <c r="AI291" s="25"/>
      <c r="AJ291" s="25"/>
      <c r="AK291" s="25"/>
      <c r="AL291" s="25"/>
      <c r="AM291" s="25"/>
      <c r="AN291" s="25"/>
      <c r="AO291" s="25"/>
      <c r="AP291" s="25"/>
      <c r="AQ291" s="137"/>
      <c r="AR291" s="60"/>
      <c r="AS291" s="60"/>
      <c r="AT291" s="60"/>
      <c r="AU291" s="60"/>
      <c r="AV291" s="60"/>
      <c r="AW291" s="60"/>
      <c r="AX291" s="60"/>
      <c r="AY291" s="60"/>
      <c r="AZ291" s="137"/>
      <c r="BA291" s="22" t="s">
        <v>50</v>
      </c>
      <c r="BB291" s="25"/>
      <c r="BC291" s="44">
        <f t="shared" si="128"/>
        <v>14.233625502310268</v>
      </c>
      <c r="BD291" s="51">
        <f>((BD258+BD256+BD257)/BD253)*100</f>
        <v>42.01506996770721</v>
      </c>
      <c r="BE291" s="51">
        <f>((BE258+BE256+BE257)/BE253)*100</f>
        <v>31.87442289935365</v>
      </c>
      <c r="BF291" s="51">
        <f>((BF258+BF256+BF257)/BF253)*100</f>
        <v>29.79585709996998</v>
      </c>
      <c r="BG291" s="51">
        <f>((BG258+BG256+BG257)/BG253)*100</f>
        <v>30.664451827242523</v>
      </c>
      <c r="BH291" s="51">
        <f>((BH258+BH256+BH257)/BH253)*100</f>
        <v>27.781444465396945</v>
      </c>
      <c r="BI291" s="140">
        <f t="shared" si="129"/>
        <v>32.42624925193407</v>
      </c>
    </row>
    <row r="292" spans="8:61" ht="12">
      <c r="H292" s="74"/>
      <c r="I292" s="74"/>
      <c r="J292" s="74"/>
      <c r="K292" s="74"/>
      <c r="L292" s="74"/>
      <c r="M292" s="74"/>
      <c r="N292" s="74"/>
      <c r="O292" s="74"/>
      <c r="P292" s="75"/>
      <c r="AI292" s="25"/>
      <c r="AJ292" s="25"/>
      <c r="AK292" s="25"/>
      <c r="AL292" s="25"/>
      <c r="AM292" s="25"/>
      <c r="AN292" s="25"/>
      <c r="AO292" s="25"/>
      <c r="AP292" s="25"/>
      <c r="AR292" s="60"/>
      <c r="AS292" s="60"/>
      <c r="AT292" s="60"/>
      <c r="AU292" s="60"/>
      <c r="AV292" s="60"/>
      <c r="AW292" s="60"/>
      <c r="AX292" s="60"/>
      <c r="AY292" s="60"/>
      <c r="AZ292" s="137"/>
      <c r="BA292" s="22"/>
      <c r="BB292" s="25"/>
      <c r="BC292" s="44"/>
      <c r="BD292" s="51"/>
      <c r="BE292" s="51"/>
      <c r="BF292" s="51"/>
      <c r="BG292" s="51"/>
      <c r="BH292" s="51"/>
      <c r="BI292" s="140"/>
    </row>
    <row r="293" spans="8:61" ht="12">
      <c r="H293" s="74"/>
      <c r="I293" s="74"/>
      <c r="J293" s="74"/>
      <c r="K293" s="74"/>
      <c r="L293" s="74"/>
      <c r="M293" s="74"/>
      <c r="N293" s="74"/>
      <c r="O293" s="74"/>
      <c r="P293" s="75"/>
      <c r="AI293" s="25"/>
      <c r="AJ293" s="25"/>
      <c r="AK293" s="25"/>
      <c r="AL293" s="25"/>
      <c r="AM293" s="25"/>
      <c r="AN293" s="25"/>
      <c r="AO293" s="25"/>
      <c r="AP293" s="25"/>
      <c r="AR293" s="60"/>
      <c r="AS293" s="60"/>
      <c r="AT293" s="60"/>
      <c r="AU293" s="60"/>
      <c r="AV293" s="60"/>
      <c r="AW293" s="60"/>
      <c r="AX293" s="60"/>
      <c r="AY293" s="60"/>
      <c r="AZ293" s="137"/>
      <c r="BI293" s="137"/>
    </row>
    <row r="294" spans="8:61" ht="12">
      <c r="H294" s="74"/>
      <c r="I294" s="74"/>
      <c r="J294" s="74"/>
      <c r="K294" s="74"/>
      <c r="L294" s="74"/>
      <c r="M294" s="74"/>
      <c r="N294" s="74"/>
      <c r="O294" s="74"/>
      <c r="P294" s="74"/>
      <c r="U294" s="145" t="s">
        <v>225</v>
      </c>
      <c r="AI294" s="25"/>
      <c r="AJ294" s="25"/>
      <c r="AK294" s="25"/>
      <c r="AL294" s="25"/>
      <c r="AM294" s="145" t="s">
        <v>236</v>
      </c>
      <c r="AN294" s="25"/>
      <c r="AO294" s="25"/>
      <c r="AP294" s="25"/>
      <c r="AR294" s="60"/>
      <c r="AS294" s="60"/>
      <c r="AT294" s="60"/>
      <c r="AU294" s="60"/>
      <c r="AV294" s="60"/>
      <c r="AW294" s="60"/>
      <c r="AX294" s="60"/>
      <c r="AY294" s="60"/>
      <c r="AZ294" s="137"/>
      <c r="BC294" s="136"/>
      <c r="BD294" s="136"/>
      <c r="BE294" s="151" t="s">
        <v>247</v>
      </c>
      <c r="BF294" s="136"/>
      <c r="BG294" s="136"/>
      <c r="BH294" s="136"/>
      <c r="BI294" s="136"/>
    </row>
    <row r="295" spans="8:61" ht="12">
      <c r="H295" s="74"/>
      <c r="I295" s="74"/>
      <c r="J295" s="74"/>
      <c r="K295" s="74"/>
      <c r="L295" s="74"/>
      <c r="M295" s="74"/>
      <c r="N295" s="74"/>
      <c r="O295" s="74"/>
      <c r="P295" s="74"/>
      <c r="Q295" s="23" t="s">
        <v>125</v>
      </c>
      <c r="R295" s="23"/>
      <c r="S295" s="23"/>
      <c r="T295" s="23"/>
      <c r="U295" s="23"/>
      <c r="V295" s="23"/>
      <c r="W295" s="23"/>
      <c r="X295" s="23"/>
      <c r="Y295" s="136"/>
      <c r="Z295" s="23" t="s">
        <v>141</v>
      </c>
      <c r="AA295" s="23"/>
      <c r="AB295" s="23"/>
      <c r="AC295" s="23"/>
      <c r="AD295" s="23"/>
      <c r="AE295" s="23"/>
      <c r="AF295" s="23"/>
      <c r="AG295" s="23"/>
      <c r="AH295" s="136"/>
      <c r="AI295" s="23" t="s">
        <v>141</v>
      </c>
      <c r="AJ295" s="23"/>
      <c r="AK295" s="23"/>
      <c r="AL295" s="23"/>
      <c r="AM295" s="23"/>
      <c r="AN295" s="23"/>
      <c r="AO295" s="23"/>
      <c r="AP295" s="23"/>
      <c r="AQ295" s="136"/>
      <c r="AR295" s="23" t="s">
        <v>160</v>
      </c>
      <c r="AS295" s="23"/>
      <c r="AT295" s="23"/>
      <c r="AU295" s="23"/>
      <c r="AV295" s="23"/>
      <c r="AW295" s="23"/>
      <c r="AX295" s="23"/>
      <c r="AY295" s="23"/>
      <c r="AZ295" s="136"/>
      <c r="BA295" s="136" t="s">
        <v>160</v>
      </c>
      <c r="BB295" s="136"/>
      <c r="BI295" s="137"/>
    </row>
    <row r="296" spans="8:61" ht="12">
      <c r="H296" s="74"/>
      <c r="I296" s="74"/>
      <c r="J296" s="74"/>
      <c r="K296" s="74"/>
      <c r="L296" s="74"/>
      <c r="M296" s="74"/>
      <c r="N296" s="74"/>
      <c r="O296" s="74"/>
      <c r="P296" s="74"/>
      <c r="AH296" s="137"/>
      <c r="AI296" s="22" t="s">
        <v>220</v>
      </c>
      <c r="AJ296" s="25"/>
      <c r="AK296" s="25"/>
      <c r="AL296" s="25"/>
      <c r="AM296" s="25"/>
      <c r="AN296" s="25"/>
      <c r="AO296" s="25"/>
      <c r="AP296" s="25"/>
      <c r="AQ296" s="137"/>
      <c r="AZ296" s="137"/>
      <c r="BA296" s="139" t="s">
        <v>220</v>
      </c>
      <c r="BI296" s="137"/>
    </row>
    <row r="297" spans="8:61" ht="12">
      <c r="H297" s="59" t="s">
        <v>135</v>
      </c>
      <c r="I297" s="59"/>
      <c r="J297" s="59"/>
      <c r="K297" s="59"/>
      <c r="L297" s="59"/>
      <c r="M297" s="59"/>
      <c r="N297" s="59"/>
      <c r="O297" s="59"/>
      <c r="P297" s="59"/>
      <c r="Q297" s="25" t="s">
        <v>22</v>
      </c>
      <c r="Z297" s="25" t="s">
        <v>22</v>
      </c>
      <c r="AH297" s="137"/>
      <c r="AI297" s="25" t="s">
        <v>22</v>
      </c>
      <c r="AJ297" s="25"/>
      <c r="AK297" s="25"/>
      <c r="AL297" s="25"/>
      <c r="AM297" s="25"/>
      <c r="AN297" s="25"/>
      <c r="AO297" s="25"/>
      <c r="AP297" s="25"/>
      <c r="AQ297" s="137"/>
      <c r="AR297" s="25" t="s">
        <v>22</v>
      </c>
      <c r="AZ297" s="137"/>
      <c r="BA297" s="133" t="s">
        <v>22</v>
      </c>
      <c r="BI297" s="137"/>
    </row>
    <row r="298" spans="8:61" ht="12">
      <c r="H298" s="60"/>
      <c r="I298" s="60"/>
      <c r="J298" s="60"/>
      <c r="K298" s="60"/>
      <c r="L298" s="60"/>
      <c r="M298" s="60"/>
      <c r="N298" s="60"/>
      <c r="O298" s="60"/>
      <c r="P298" s="61"/>
      <c r="Q298" s="25" t="s">
        <v>114</v>
      </c>
      <c r="Z298" s="25" t="s">
        <v>114</v>
      </c>
      <c r="AH298" s="137"/>
      <c r="AI298" s="25" t="s">
        <v>114</v>
      </c>
      <c r="AJ298" s="25"/>
      <c r="AK298" s="25"/>
      <c r="AL298" s="25"/>
      <c r="AM298" s="25"/>
      <c r="AN298" s="25"/>
      <c r="AO298" s="25"/>
      <c r="AP298" s="25"/>
      <c r="AQ298" s="137"/>
      <c r="AR298" s="25" t="s">
        <v>114</v>
      </c>
      <c r="AZ298" s="137"/>
      <c r="BA298" s="133" t="s">
        <v>114</v>
      </c>
      <c r="BI298" s="137"/>
    </row>
    <row r="299" spans="8:61" ht="12">
      <c r="H299" s="60" t="s">
        <v>22</v>
      </c>
      <c r="I299" s="60"/>
      <c r="J299" s="60"/>
      <c r="K299" s="60"/>
      <c r="L299" s="60"/>
      <c r="M299" s="60"/>
      <c r="N299" s="60"/>
      <c r="O299" s="60"/>
      <c r="P299" s="61"/>
      <c r="Q299" s="25" t="s">
        <v>52</v>
      </c>
      <c r="Z299" s="25" t="s">
        <v>52</v>
      </c>
      <c r="AH299" s="137"/>
      <c r="AI299" s="25" t="s">
        <v>52</v>
      </c>
      <c r="AJ299" s="25"/>
      <c r="AK299" s="25"/>
      <c r="AL299" s="25"/>
      <c r="AM299" s="25"/>
      <c r="AN299" s="25"/>
      <c r="AO299" s="25"/>
      <c r="AP299" s="25"/>
      <c r="AQ299" s="137"/>
      <c r="AR299" s="25" t="s">
        <v>52</v>
      </c>
      <c r="AZ299" s="137"/>
      <c r="BA299" s="133" t="s">
        <v>52</v>
      </c>
      <c r="BI299" s="137"/>
    </row>
    <row r="300" spans="8:61" ht="12">
      <c r="H300" s="60" t="s">
        <v>114</v>
      </c>
      <c r="I300" s="60"/>
      <c r="J300" s="60"/>
      <c r="K300" s="60"/>
      <c r="L300" s="60"/>
      <c r="M300" s="60"/>
      <c r="N300" s="60"/>
      <c r="O300" s="60"/>
      <c r="P300" s="61"/>
      <c r="AH300" s="137"/>
      <c r="AI300" s="25"/>
      <c r="AJ300" s="25"/>
      <c r="AK300" s="25"/>
      <c r="AL300" s="25"/>
      <c r="AM300" s="25"/>
      <c r="AN300" s="25"/>
      <c r="AO300" s="25"/>
      <c r="AP300" s="25"/>
      <c r="AQ300" s="137"/>
      <c r="AX300" s="107"/>
      <c r="AY300" s="107"/>
      <c r="AZ300" s="137"/>
      <c r="BD300" s="143" t="s">
        <v>25</v>
      </c>
      <c r="BE300" s="143" t="s">
        <v>25</v>
      </c>
      <c r="BF300" s="143" t="s">
        <v>25</v>
      </c>
      <c r="BG300" s="143" t="s">
        <v>25</v>
      </c>
      <c r="BH300" s="143" t="s">
        <v>25</v>
      </c>
      <c r="BI300" s="138"/>
    </row>
    <row r="301" spans="8:61" ht="12">
      <c r="H301" s="60" t="s">
        <v>52</v>
      </c>
      <c r="I301" s="60"/>
      <c r="J301" s="60"/>
      <c r="K301" s="60"/>
      <c r="L301" s="60"/>
      <c r="M301" s="60"/>
      <c r="N301" s="60"/>
      <c r="O301" s="60"/>
      <c r="P301" s="61"/>
      <c r="T301" s="28" t="s">
        <v>25</v>
      </c>
      <c r="U301" s="28" t="s">
        <v>25</v>
      </c>
      <c r="V301" s="28" t="s">
        <v>25</v>
      </c>
      <c r="W301" s="28" t="s">
        <v>25</v>
      </c>
      <c r="X301" s="28" t="s">
        <v>25</v>
      </c>
      <c r="Y301" s="138"/>
      <c r="AC301" s="28" t="s">
        <v>25</v>
      </c>
      <c r="AD301" s="28" t="s">
        <v>25</v>
      </c>
      <c r="AE301" s="28" t="s">
        <v>25</v>
      </c>
      <c r="AF301" s="28" t="s">
        <v>25</v>
      </c>
      <c r="AG301" s="28" t="s">
        <v>25</v>
      </c>
      <c r="AH301" s="138"/>
      <c r="AI301" s="25"/>
      <c r="AJ301" s="25"/>
      <c r="AK301" s="25"/>
      <c r="AL301" s="28" t="s">
        <v>25</v>
      </c>
      <c r="AM301" s="28" t="s">
        <v>25</v>
      </c>
      <c r="AN301" s="28" t="s">
        <v>25</v>
      </c>
      <c r="AO301" s="28" t="s">
        <v>25</v>
      </c>
      <c r="AP301" s="28" t="s">
        <v>25</v>
      </c>
      <c r="AQ301" s="138"/>
      <c r="AU301" s="28" t="s">
        <v>25</v>
      </c>
      <c r="AV301" s="28" t="s">
        <v>25</v>
      </c>
      <c r="AW301" s="28" t="s">
        <v>25</v>
      </c>
      <c r="AX301" s="108" t="s">
        <v>25</v>
      </c>
      <c r="AY301" s="108" t="s">
        <v>25</v>
      </c>
      <c r="AZ301" s="138"/>
      <c r="BD301" s="143">
        <v>2006</v>
      </c>
      <c r="BE301" s="143">
        <v>2005</v>
      </c>
      <c r="BF301" s="143">
        <v>2004</v>
      </c>
      <c r="BG301" s="143">
        <v>2003</v>
      </c>
      <c r="BH301" s="143">
        <v>2002</v>
      </c>
      <c r="BI301" s="138" t="s">
        <v>117</v>
      </c>
    </row>
    <row r="302" spans="8:61" ht="12">
      <c r="H302" s="60"/>
      <c r="I302" s="60"/>
      <c r="J302" s="60"/>
      <c r="K302" s="60"/>
      <c r="L302" s="60"/>
      <c r="M302" s="60"/>
      <c r="N302" s="60"/>
      <c r="O302" s="60"/>
      <c r="P302" s="61"/>
      <c r="T302" s="28">
        <v>2006</v>
      </c>
      <c r="U302" s="28">
        <v>2005</v>
      </c>
      <c r="V302" s="28">
        <v>2004</v>
      </c>
      <c r="W302" s="28">
        <v>2003</v>
      </c>
      <c r="X302" s="28">
        <v>2002</v>
      </c>
      <c r="Y302" s="138" t="s">
        <v>117</v>
      </c>
      <c r="AC302" s="28">
        <v>2006</v>
      </c>
      <c r="AD302" s="28">
        <v>2005</v>
      </c>
      <c r="AE302" s="28">
        <v>2004</v>
      </c>
      <c r="AF302" s="28">
        <v>2003</v>
      </c>
      <c r="AG302" s="28">
        <v>2002</v>
      </c>
      <c r="AH302" s="138" t="s">
        <v>117</v>
      </c>
      <c r="AI302" s="25"/>
      <c r="AJ302" s="25"/>
      <c r="AK302" s="25"/>
      <c r="AL302" s="28">
        <v>2006</v>
      </c>
      <c r="AM302" s="28">
        <v>2005</v>
      </c>
      <c r="AN302" s="28">
        <v>2004</v>
      </c>
      <c r="AO302" s="28">
        <v>2003</v>
      </c>
      <c r="AP302" s="28">
        <v>2002</v>
      </c>
      <c r="AQ302" s="138" t="s">
        <v>117</v>
      </c>
      <c r="AU302" s="28">
        <v>2006</v>
      </c>
      <c r="AV302" s="28">
        <v>2005</v>
      </c>
      <c r="AW302" s="28">
        <v>2004</v>
      </c>
      <c r="AX302" s="108">
        <v>2003</v>
      </c>
      <c r="AY302" s="108">
        <v>2002</v>
      </c>
      <c r="AZ302" s="138" t="s">
        <v>117</v>
      </c>
      <c r="BD302" s="143" t="s">
        <v>71</v>
      </c>
      <c r="BE302" s="143" t="s">
        <v>71</v>
      </c>
      <c r="BF302" s="143" t="s">
        <v>71</v>
      </c>
      <c r="BG302" s="143" t="s">
        <v>71</v>
      </c>
      <c r="BH302" s="143" t="s">
        <v>71</v>
      </c>
      <c r="BI302" s="138" t="s">
        <v>71</v>
      </c>
    </row>
    <row r="303" spans="8:61" ht="12">
      <c r="H303" s="60"/>
      <c r="I303" s="60"/>
      <c r="J303" s="60"/>
      <c r="K303" s="62" t="s">
        <v>25</v>
      </c>
      <c r="L303" s="62" t="s">
        <v>25</v>
      </c>
      <c r="M303" s="62" t="s">
        <v>25</v>
      </c>
      <c r="N303" s="62" t="s">
        <v>25</v>
      </c>
      <c r="O303" s="62" t="s">
        <v>25</v>
      </c>
      <c r="P303" s="63"/>
      <c r="T303" s="28" t="s">
        <v>71</v>
      </c>
      <c r="U303" s="28" t="s">
        <v>71</v>
      </c>
      <c r="V303" s="28" t="s">
        <v>71</v>
      </c>
      <c r="W303" s="28" t="s">
        <v>71</v>
      </c>
      <c r="X303" s="28" t="s">
        <v>71</v>
      </c>
      <c r="Y303" s="138" t="s">
        <v>71</v>
      </c>
      <c r="AB303" s="22" t="s">
        <v>218</v>
      </c>
      <c r="AC303" s="28" t="s">
        <v>71</v>
      </c>
      <c r="AD303" s="28" t="s">
        <v>71</v>
      </c>
      <c r="AE303" s="28" t="s">
        <v>71</v>
      </c>
      <c r="AF303" s="28" t="s">
        <v>71</v>
      </c>
      <c r="AG303" s="28" t="s">
        <v>71</v>
      </c>
      <c r="AH303" s="138" t="s">
        <v>71</v>
      </c>
      <c r="AI303" s="25"/>
      <c r="AJ303" s="25"/>
      <c r="AK303" s="22" t="s">
        <v>218</v>
      </c>
      <c r="AL303" s="28" t="s">
        <v>71</v>
      </c>
      <c r="AM303" s="28" t="s">
        <v>71</v>
      </c>
      <c r="AN303" s="28" t="s">
        <v>71</v>
      </c>
      <c r="AO303" s="28" t="s">
        <v>71</v>
      </c>
      <c r="AP303" s="28" t="s">
        <v>71</v>
      </c>
      <c r="AQ303" s="138" t="s">
        <v>71</v>
      </c>
      <c r="AU303" s="28" t="s">
        <v>71</v>
      </c>
      <c r="AV303" s="28" t="s">
        <v>71</v>
      </c>
      <c r="AW303" s="28" t="s">
        <v>71</v>
      </c>
      <c r="AX303" s="108" t="s">
        <v>71</v>
      </c>
      <c r="AY303" s="108" t="s">
        <v>71</v>
      </c>
      <c r="AZ303" s="138" t="s">
        <v>71</v>
      </c>
      <c r="BC303" s="139" t="s">
        <v>219</v>
      </c>
      <c r="BD303" s="143" t="s">
        <v>38</v>
      </c>
      <c r="BE303" s="143" t="s">
        <v>38</v>
      </c>
      <c r="BF303" s="143" t="s">
        <v>38</v>
      </c>
      <c r="BG303" s="143" t="s">
        <v>38</v>
      </c>
      <c r="BH303" s="143" t="s">
        <v>38</v>
      </c>
      <c r="BI303" s="143" t="s">
        <v>38</v>
      </c>
    </row>
    <row r="304" spans="8:61" ht="12">
      <c r="H304" s="60"/>
      <c r="I304" s="60"/>
      <c r="J304" s="60"/>
      <c r="K304" s="62">
        <v>2006</v>
      </c>
      <c r="L304" s="62">
        <v>2005</v>
      </c>
      <c r="M304" s="62">
        <v>2004</v>
      </c>
      <c r="N304" s="62">
        <v>2003</v>
      </c>
      <c r="O304" s="62">
        <v>2002</v>
      </c>
      <c r="P304" s="63" t="s">
        <v>117</v>
      </c>
      <c r="S304" s="22" t="s">
        <v>219</v>
      </c>
      <c r="T304" s="28" t="s">
        <v>38</v>
      </c>
      <c r="U304" s="28" t="s">
        <v>38</v>
      </c>
      <c r="V304" s="28" t="s">
        <v>38</v>
      </c>
      <c r="W304" s="28" t="s">
        <v>38</v>
      </c>
      <c r="X304" s="28" t="s">
        <v>38</v>
      </c>
      <c r="Y304" s="143" t="s">
        <v>38</v>
      </c>
      <c r="AC304" s="28" t="s">
        <v>68</v>
      </c>
      <c r="AD304" s="28" t="s">
        <v>68</v>
      </c>
      <c r="AE304" s="28" t="s">
        <v>68</v>
      </c>
      <c r="AF304" s="28" t="s">
        <v>68</v>
      </c>
      <c r="AG304" s="28" t="s">
        <v>68</v>
      </c>
      <c r="AH304" s="138" t="s">
        <v>68</v>
      </c>
      <c r="AI304" s="25"/>
      <c r="AJ304" s="25"/>
      <c r="AK304" s="25"/>
      <c r="AL304" s="28" t="s">
        <v>38</v>
      </c>
      <c r="AM304" s="28" t="s">
        <v>38</v>
      </c>
      <c r="AN304" s="28" t="s">
        <v>38</v>
      </c>
      <c r="AO304" s="28" t="s">
        <v>38</v>
      </c>
      <c r="AP304" s="28" t="s">
        <v>38</v>
      </c>
      <c r="AQ304" s="143" t="s">
        <v>38</v>
      </c>
      <c r="AT304" s="22" t="s">
        <v>219</v>
      </c>
      <c r="AU304" s="28" t="s">
        <v>38</v>
      </c>
      <c r="AV304" s="28" t="s">
        <v>38</v>
      </c>
      <c r="AW304" s="28" t="s">
        <v>38</v>
      </c>
      <c r="AX304" s="108" t="s">
        <v>68</v>
      </c>
      <c r="AY304" s="108" t="s">
        <v>68</v>
      </c>
      <c r="AZ304" s="143" t="s">
        <v>38</v>
      </c>
      <c r="BA304" s="133" t="s">
        <v>26</v>
      </c>
      <c r="BC304" s="146">
        <f>BD304-BH304</f>
        <v>1197</v>
      </c>
      <c r="BD304" s="147">
        <v>3497</v>
      </c>
      <c r="BE304" s="147">
        <v>2723</v>
      </c>
      <c r="BF304" s="147">
        <v>2350</v>
      </c>
      <c r="BG304" s="147">
        <f aca="true" t="shared" si="130" ref="BG304:BH308">2*AX305</f>
        <v>2562</v>
      </c>
      <c r="BH304" s="147">
        <f t="shared" si="130"/>
        <v>2300</v>
      </c>
      <c r="BI304" s="53">
        <f>AVERAGE(BD304:BH304)</f>
        <v>2686.4</v>
      </c>
    </row>
    <row r="305" spans="8:61" ht="12">
      <c r="H305" s="60"/>
      <c r="I305" s="60"/>
      <c r="J305" s="60"/>
      <c r="K305" s="62" t="s">
        <v>71</v>
      </c>
      <c r="L305" s="62" t="s">
        <v>71</v>
      </c>
      <c r="M305" s="62" t="s">
        <v>71</v>
      </c>
      <c r="N305" s="62" t="s">
        <v>71</v>
      </c>
      <c r="O305" s="62" t="s">
        <v>71</v>
      </c>
      <c r="P305" s="63" t="s">
        <v>71</v>
      </c>
      <c r="Q305" s="25" t="s">
        <v>26</v>
      </c>
      <c r="R305" s="22"/>
      <c r="S305" s="132">
        <f>T305-X305</f>
        <v>268</v>
      </c>
      <c r="T305" s="42">
        <v>7422</v>
      </c>
      <c r="U305" s="42">
        <v>10145</v>
      </c>
      <c r="V305" s="42">
        <v>7510</v>
      </c>
      <c r="W305" s="42">
        <v>7452</v>
      </c>
      <c r="X305" s="42">
        <v>7154</v>
      </c>
      <c r="Y305" s="53">
        <f>AVERAGE(T305:X305)</f>
        <v>7936.6</v>
      </c>
      <c r="Z305" s="25" t="s">
        <v>26</v>
      </c>
      <c r="AA305" s="22"/>
      <c r="AB305" s="132">
        <f>AC305-AG305</f>
        <v>311</v>
      </c>
      <c r="AC305" s="42">
        <v>2503</v>
      </c>
      <c r="AD305" s="42">
        <v>2119</v>
      </c>
      <c r="AE305" s="42">
        <v>2400</v>
      </c>
      <c r="AF305" s="42">
        <v>2371</v>
      </c>
      <c r="AG305" s="42">
        <v>2192</v>
      </c>
      <c r="AH305" s="53">
        <f>AVERAGE(AC305:AG305)</f>
        <v>2317</v>
      </c>
      <c r="AI305" s="25" t="s">
        <v>26</v>
      </c>
      <c r="AJ305" s="22"/>
      <c r="AK305" s="132">
        <f>AL305-AP305</f>
        <v>622</v>
      </c>
      <c r="AL305" s="42">
        <f aca="true" t="shared" si="131" ref="AL305:AP309">2*AC305</f>
        <v>5006</v>
      </c>
      <c r="AM305" s="42">
        <f t="shared" si="131"/>
        <v>4238</v>
      </c>
      <c r="AN305" s="42">
        <f t="shared" si="131"/>
        <v>4800</v>
      </c>
      <c r="AO305" s="42">
        <f t="shared" si="131"/>
        <v>4742</v>
      </c>
      <c r="AP305" s="42">
        <f t="shared" si="131"/>
        <v>4384</v>
      </c>
      <c r="AQ305" s="53">
        <f>AVERAGE(AL305:AP305)</f>
        <v>4634</v>
      </c>
      <c r="AR305" s="25" t="s">
        <v>26</v>
      </c>
      <c r="AS305" s="22"/>
      <c r="AT305" s="132">
        <f>AU305-AY305</f>
        <v>2347</v>
      </c>
      <c r="AU305" s="42">
        <v>3497</v>
      </c>
      <c r="AV305" s="42">
        <v>2723</v>
      </c>
      <c r="AW305" s="42">
        <v>2350</v>
      </c>
      <c r="AX305" s="109">
        <v>1281</v>
      </c>
      <c r="AY305" s="109">
        <v>1150</v>
      </c>
      <c r="AZ305" s="53">
        <f>AVERAGE(AU305:AY305)</f>
        <v>2200.2</v>
      </c>
      <c r="BA305" s="133" t="s">
        <v>93</v>
      </c>
      <c r="BB305" s="139"/>
      <c r="BC305" s="146">
        <f>BD305-BH305</f>
        <v>1016</v>
      </c>
      <c r="BD305" s="147">
        <v>9292</v>
      </c>
      <c r="BE305" s="147">
        <v>7584</v>
      </c>
      <c r="BF305" s="147">
        <v>7420</v>
      </c>
      <c r="BG305" s="147">
        <f t="shared" si="130"/>
        <v>7906</v>
      </c>
      <c r="BH305" s="147">
        <f t="shared" si="130"/>
        <v>8276</v>
      </c>
      <c r="BI305" s="53">
        <f>AVERAGE(BD305:BH305)</f>
        <v>8095.6</v>
      </c>
    </row>
    <row r="306" spans="8:61" ht="12">
      <c r="H306" s="60"/>
      <c r="I306" s="60"/>
      <c r="J306" s="60"/>
      <c r="K306" s="62" t="s">
        <v>68</v>
      </c>
      <c r="L306" s="62" t="s">
        <v>68</v>
      </c>
      <c r="M306" s="62" t="s">
        <v>68</v>
      </c>
      <c r="N306" s="62" t="s">
        <v>68</v>
      </c>
      <c r="O306" s="62" t="s">
        <v>68</v>
      </c>
      <c r="P306" s="63" t="s">
        <v>68</v>
      </c>
      <c r="Q306" s="25" t="s">
        <v>93</v>
      </c>
      <c r="S306" s="132">
        <f>T306-X306</f>
        <v>15109</v>
      </c>
      <c r="T306" s="42">
        <v>29550</v>
      </c>
      <c r="U306" s="42">
        <v>33168</v>
      </c>
      <c r="V306" s="42">
        <v>14885</v>
      </c>
      <c r="W306" s="42">
        <v>14550</v>
      </c>
      <c r="X306" s="42">
        <v>14441</v>
      </c>
      <c r="Y306" s="53">
        <f>AVERAGE(T306:X306)</f>
        <v>21318.8</v>
      </c>
      <c r="Z306" s="25" t="s">
        <v>93</v>
      </c>
      <c r="AB306" s="132">
        <f>AC306-AG306</f>
        <v>-1358</v>
      </c>
      <c r="AC306" s="42">
        <v>7826</v>
      </c>
      <c r="AD306" s="42">
        <v>8597</v>
      </c>
      <c r="AE306" s="42">
        <f>6058+AE305</f>
        <v>8458</v>
      </c>
      <c r="AF306" s="42">
        <f>6243+AF305</f>
        <v>8614</v>
      </c>
      <c r="AG306" s="42">
        <f>6992+AG305</f>
        <v>9184</v>
      </c>
      <c r="AH306" s="53">
        <f>AVERAGE(AC306:AG306)</f>
        <v>8535.8</v>
      </c>
      <c r="AI306" s="25" t="s">
        <v>93</v>
      </c>
      <c r="AJ306" s="25"/>
      <c r="AK306" s="132">
        <f>AL306-AP306</f>
        <v>-2716</v>
      </c>
      <c r="AL306" s="42">
        <f t="shared" si="131"/>
        <v>15652</v>
      </c>
      <c r="AM306" s="42">
        <f t="shared" si="131"/>
        <v>17194</v>
      </c>
      <c r="AN306" s="42">
        <f t="shared" si="131"/>
        <v>16916</v>
      </c>
      <c r="AO306" s="42">
        <f t="shared" si="131"/>
        <v>17228</v>
      </c>
      <c r="AP306" s="42">
        <f t="shared" si="131"/>
        <v>18368</v>
      </c>
      <c r="AQ306" s="53">
        <f>AVERAGE(AL306:AP306)</f>
        <v>17071.6</v>
      </c>
      <c r="AR306" s="25" t="s">
        <v>93</v>
      </c>
      <c r="AT306" s="132">
        <f>AU306-AY306</f>
        <v>5154</v>
      </c>
      <c r="AU306" s="42">
        <v>9292</v>
      </c>
      <c r="AV306" s="42">
        <v>7584</v>
      </c>
      <c r="AW306" s="42">
        <v>7420</v>
      </c>
      <c r="AX306" s="109">
        <f>2672+AX305</f>
        <v>3953</v>
      </c>
      <c r="AY306" s="109">
        <f>2988+AY305</f>
        <v>4138</v>
      </c>
      <c r="AZ306" s="53">
        <f>AVERAGE(AU306:AY306)</f>
        <v>6477.4</v>
      </c>
      <c r="BA306" s="133" t="s">
        <v>72</v>
      </c>
      <c r="BC306" s="146">
        <f>BD306-BH306</f>
        <v>1304</v>
      </c>
      <c r="BD306" s="147">
        <v>3582</v>
      </c>
      <c r="BE306" s="147">
        <v>2573</v>
      </c>
      <c r="BF306" s="147">
        <v>2327</v>
      </c>
      <c r="BG306" s="147">
        <f t="shared" si="130"/>
        <v>2104</v>
      </c>
      <c r="BH306" s="147">
        <f t="shared" si="130"/>
        <v>2278</v>
      </c>
      <c r="BI306" s="53">
        <f>AVERAGE(BD306:BH306)</f>
        <v>2572.8</v>
      </c>
    </row>
    <row r="307" spans="8:61" ht="12">
      <c r="H307" s="60" t="s">
        <v>26</v>
      </c>
      <c r="I307" s="64"/>
      <c r="J307" s="64"/>
      <c r="K307" s="65">
        <v>2498</v>
      </c>
      <c r="L307" s="65"/>
      <c r="M307" s="65"/>
      <c r="N307" s="65"/>
      <c r="O307" s="65"/>
      <c r="P307" s="66">
        <f>AVERAGE(K307:O307)</f>
        <v>2498</v>
      </c>
      <c r="Q307" s="25" t="s">
        <v>72</v>
      </c>
      <c r="S307" s="132">
        <f>T307-X307</f>
        <v>2758</v>
      </c>
      <c r="T307" s="42">
        <v>6359</v>
      </c>
      <c r="U307" s="42">
        <v>7590</v>
      </c>
      <c r="V307" s="42">
        <v>4301</v>
      </c>
      <c r="W307" s="42">
        <v>3883</v>
      </c>
      <c r="X307" s="42">
        <v>3601</v>
      </c>
      <c r="Y307" s="53">
        <f>AVERAGE(T307:X307)</f>
        <v>5146.8</v>
      </c>
      <c r="Z307" s="25" t="s">
        <v>72</v>
      </c>
      <c r="AB307" s="132">
        <f>AC307-AG307</f>
        <v>-1337</v>
      </c>
      <c r="AC307" s="42">
        <v>2533</v>
      </c>
      <c r="AD307" s="42">
        <v>2951</v>
      </c>
      <c r="AE307" s="42">
        <v>2872</v>
      </c>
      <c r="AF307" s="42">
        <v>3093</v>
      </c>
      <c r="AG307" s="42">
        <v>3870</v>
      </c>
      <c r="AH307" s="53">
        <f>AVERAGE(AC307:AG307)</f>
        <v>3063.8</v>
      </c>
      <c r="AI307" s="25" t="s">
        <v>72</v>
      </c>
      <c r="AJ307" s="25"/>
      <c r="AK307" s="132">
        <f>AL307-AP307</f>
        <v>-2674</v>
      </c>
      <c r="AL307" s="42">
        <f t="shared" si="131"/>
        <v>5066</v>
      </c>
      <c r="AM307" s="42">
        <f t="shared" si="131"/>
        <v>5902</v>
      </c>
      <c r="AN307" s="42">
        <f t="shared" si="131"/>
        <v>5744</v>
      </c>
      <c r="AO307" s="42">
        <f t="shared" si="131"/>
        <v>6186</v>
      </c>
      <c r="AP307" s="42">
        <f t="shared" si="131"/>
        <v>7740</v>
      </c>
      <c r="AQ307" s="53">
        <f>AVERAGE(AL307:AP307)</f>
        <v>6127.6</v>
      </c>
      <c r="AR307" s="25" t="s">
        <v>72</v>
      </c>
      <c r="AT307" s="132">
        <f>AU307-AY307</f>
        <v>2443</v>
      </c>
      <c r="AU307" s="42">
        <v>3582</v>
      </c>
      <c r="AV307" s="42">
        <v>2573</v>
      </c>
      <c r="AW307" s="42">
        <v>2327</v>
      </c>
      <c r="AX307" s="109">
        <v>1052</v>
      </c>
      <c r="AY307" s="109">
        <v>1139</v>
      </c>
      <c r="AZ307" s="53">
        <f>AVERAGE(AU307:AY307)</f>
        <v>2134.6</v>
      </c>
      <c r="BA307" s="133" t="s">
        <v>35</v>
      </c>
      <c r="BC307" s="146">
        <f>BD307-BH307</f>
        <v>1309</v>
      </c>
      <c r="BD307" s="147">
        <v>5017</v>
      </c>
      <c r="BE307" s="147">
        <v>3968</v>
      </c>
      <c r="BF307" s="147">
        <v>3877</v>
      </c>
      <c r="BG307" s="147">
        <f t="shared" si="130"/>
        <v>3776</v>
      </c>
      <c r="BH307" s="147">
        <f t="shared" si="130"/>
        <v>3708</v>
      </c>
      <c r="BI307" s="53">
        <f>AVERAGE(BD307:BH307)</f>
        <v>4069.2</v>
      </c>
    </row>
    <row r="308" spans="8:61" ht="12">
      <c r="H308" s="60" t="s">
        <v>93</v>
      </c>
      <c r="I308" s="60"/>
      <c r="J308" s="60"/>
      <c r="K308" s="65">
        <v>5318</v>
      </c>
      <c r="L308" s="65"/>
      <c r="M308" s="65"/>
      <c r="N308" s="65"/>
      <c r="O308" s="65"/>
      <c r="P308" s="66">
        <f>AVERAGE(K308:O308)</f>
        <v>5318</v>
      </c>
      <c r="Q308" s="25" t="s">
        <v>35</v>
      </c>
      <c r="S308" s="132">
        <f>T308-X308</f>
        <v>8617</v>
      </c>
      <c r="T308" s="42">
        <f>29550-T309</f>
        <v>17296</v>
      </c>
      <c r="U308" s="42">
        <f>33168-U309</f>
        <v>19649</v>
      </c>
      <c r="V308" s="42">
        <f>14885-V309</f>
        <v>8718</v>
      </c>
      <c r="W308" s="42">
        <f>14550-W309</f>
        <v>8610</v>
      </c>
      <c r="X308" s="42">
        <f>14441-X309</f>
        <v>8679</v>
      </c>
      <c r="Y308" s="53">
        <f>AVERAGE(T308:X308)</f>
        <v>12590.4</v>
      </c>
      <c r="Z308" s="25" t="s">
        <v>35</v>
      </c>
      <c r="AB308" s="132">
        <f>AC308-AG308</f>
        <v>-1378</v>
      </c>
      <c r="AC308" s="42">
        <v>4974</v>
      </c>
      <c r="AD308" s="42">
        <v>6319</v>
      </c>
      <c r="AE308" s="42">
        <f>2665+385+54+AE307</f>
        <v>5976</v>
      </c>
      <c r="AF308" s="42">
        <f>2457+429+56+AF307</f>
        <v>6035</v>
      </c>
      <c r="AG308" s="42">
        <f>1954+431+97+AG307</f>
        <v>6352</v>
      </c>
      <c r="AH308" s="53">
        <f>AVERAGE(AC308:AG308)</f>
        <v>5931.2</v>
      </c>
      <c r="AI308" s="25" t="s">
        <v>35</v>
      </c>
      <c r="AJ308" s="25"/>
      <c r="AK308" s="132">
        <f>AL308-AP308</f>
        <v>-2756</v>
      </c>
      <c r="AL308" s="42">
        <f t="shared" si="131"/>
        <v>9948</v>
      </c>
      <c r="AM308" s="42">
        <f t="shared" si="131"/>
        <v>12638</v>
      </c>
      <c r="AN308" s="42">
        <f t="shared" si="131"/>
        <v>11952</v>
      </c>
      <c r="AO308" s="42">
        <f t="shared" si="131"/>
        <v>12070</v>
      </c>
      <c r="AP308" s="42">
        <f t="shared" si="131"/>
        <v>12704</v>
      </c>
      <c r="AQ308" s="53">
        <f>AVERAGE(AL308:AP308)</f>
        <v>11862.4</v>
      </c>
      <c r="AR308" s="25" t="s">
        <v>35</v>
      </c>
      <c r="AT308" s="132">
        <f>AU308-AY308</f>
        <v>3163</v>
      </c>
      <c r="AU308" s="42">
        <v>5017</v>
      </c>
      <c r="AV308" s="42">
        <v>3968</v>
      </c>
      <c r="AW308" s="42">
        <v>3877</v>
      </c>
      <c r="AX308" s="109">
        <f>730+106+AX307</f>
        <v>1888</v>
      </c>
      <c r="AY308" s="109">
        <f>596+119+AY307</f>
        <v>1854</v>
      </c>
      <c r="AZ308" s="53">
        <f>AVERAGE(AU308:AY308)</f>
        <v>3320.8</v>
      </c>
      <c r="BA308" s="133" t="s">
        <v>100</v>
      </c>
      <c r="BC308" s="146">
        <f>BD308-BH308</f>
        <v>-291</v>
      </c>
      <c r="BD308" s="147">
        <v>4275</v>
      </c>
      <c r="BE308" s="147">
        <v>3616</v>
      </c>
      <c r="BF308" s="147">
        <v>3543</v>
      </c>
      <c r="BG308" s="147">
        <f t="shared" si="130"/>
        <v>4130</v>
      </c>
      <c r="BH308" s="147">
        <f t="shared" si="130"/>
        <v>4566</v>
      </c>
      <c r="BI308" s="53">
        <f>AVERAGE(BD308:BH308)</f>
        <v>4026</v>
      </c>
    </row>
    <row r="309" spans="8:61" ht="12">
      <c r="H309" s="60" t="s">
        <v>72</v>
      </c>
      <c r="I309" s="60"/>
      <c r="J309" s="60"/>
      <c r="K309" s="65">
        <v>1996</v>
      </c>
      <c r="L309" s="65"/>
      <c r="M309" s="65"/>
      <c r="N309" s="65"/>
      <c r="O309" s="65"/>
      <c r="P309" s="66">
        <f>AVERAGE(K309:O309)</f>
        <v>1996</v>
      </c>
      <c r="Q309" s="25" t="s">
        <v>100</v>
      </c>
      <c r="S309" s="132">
        <f>T309-X309</f>
        <v>6492</v>
      </c>
      <c r="T309" s="42">
        <v>12254</v>
      </c>
      <c r="U309" s="42">
        <v>13519</v>
      </c>
      <c r="V309" s="42">
        <v>6167</v>
      </c>
      <c r="W309" s="42">
        <v>5940</v>
      </c>
      <c r="X309" s="42">
        <v>5762</v>
      </c>
      <c r="Y309" s="53">
        <f>AVERAGE(T309:X309)</f>
        <v>8728.4</v>
      </c>
      <c r="Z309" s="25" t="s">
        <v>100</v>
      </c>
      <c r="AB309" s="132">
        <f>AC309-AG309</f>
        <v>-519</v>
      </c>
      <c r="AC309" s="42">
        <v>2312</v>
      </c>
      <c r="AD309" s="42">
        <v>2278</v>
      </c>
      <c r="AE309" s="42">
        <v>2482</v>
      </c>
      <c r="AF309" s="42">
        <v>2579</v>
      </c>
      <c r="AG309" s="42">
        <v>2831</v>
      </c>
      <c r="AH309" s="53">
        <f>AVERAGE(AC309:AG309)</f>
        <v>2496.4</v>
      </c>
      <c r="AI309" s="25" t="s">
        <v>100</v>
      </c>
      <c r="AJ309" s="25"/>
      <c r="AK309" s="132">
        <f>AL309-AP309</f>
        <v>-1038</v>
      </c>
      <c r="AL309" s="42">
        <f t="shared" si="131"/>
        <v>4624</v>
      </c>
      <c r="AM309" s="42">
        <f t="shared" si="131"/>
        <v>4556</v>
      </c>
      <c r="AN309" s="42">
        <f t="shared" si="131"/>
        <v>4964</v>
      </c>
      <c r="AO309" s="42">
        <f t="shared" si="131"/>
        <v>5158</v>
      </c>
      <c r="AP309" s="42">
        <f t="shared" si="131"/>
        <v>5662</v>
      </c>
      <c r="AQ309" s="53">
        <f>AVERAGE(AL309:AP309)</f>
        <v>4992.8</v>
      </c>
      <c r="AR309" s="25" t="s">
        <v>100</v>
      </c>
      <c r="AT309" s="132">
        <f>AU309-AY309</f>
        <v>1992</v>
      </c>
      <c r="AU309" s="42">
        <v>4275</v>
      </c>
      <c r="AV309" s="42">
        <v>3616</v>
      </c>
      <c r="AW309" s="42">
        <v>3543</v>
      </c>
      <c r="AX309" s="109">
        <v>2065</v>
      </c>
      <c r="AY309" s="109">
        <v>2283</v>
      </c>
      <c r="AZ309" s="53">
        <f>AVERAGE(AU309:AY309)</f>
        <v>3156.4</v>
      </c>
      <c r="BC309" s="139"/>
      <c r="BD309" s="147"/>
      <c r="BE309" s="147"/>
      <c r="BF309" s="147"/>
      <c r="BG309" s="147"/>
      <c r="BH309" s="147"/>
      <c r="BI309" s="53"/>
    </row>
    <row r="310" spans="8:61" ht="12">
      <c r="H310" s="60" t="s">
        <v>35</v>
      </c>
      <c r="I310" s="60"/>
      <c r="J310" s="60"/>
      <c r="K310" s="65">
        <v>2368</v>
      </c>
      <c r="L310" s="65"/>
      <c r="M310" s="65"/>
      <c r="N310" s="65"/>
      <c r="O310" s="65"/>
      <c r="P310" s="66">
        <f>AVERAGE(K310:O310)</f>
        <v>2368</v>
      </c>
      <c r="Q310" s="22"/>
      <c r="R310" s="22"/>
      <c r="S310" s="22"/>
      <c r="T310" s="42"/>
      <c r="U310" s="42"/>
      <c r="V310" s="42"/>
      <c r="W310" s="42"/>
      <c r="X310" s="42"/>
      <c r="Y310" s="53"/>
      <c r="Z310" s="22"/>
      <c r="AA310" s="22"/>
      <c r="AB310" s="22"/>
      <c r="AC310" s="42"/>
      <c r="AD310" s="42"/>
      <c r="AE310" s="42"/>
      <c r="AF310" s="42"/>
      <c r="AG310" s="42"/>
      <c r="AH310" s="53"/>
      <c r="AI310" s="22"/>
      <c r="AJ310" s="22"/>
      <c r="AK310" s="22"/>
      <c r="AL310" s="42"/>
      <c r="AM310" s="42"/>
      <c r="AN310" s="42"/>
      <c r="AO310" s="42"/>
      <c r="AP310" s="42"/>
      <c r="AQ310" s="53"/>
      <c r="AR310" s="22"/>
      <c r="AS310" s="22"/>
      <c r="AT310" s="22"/>
      <c r="AU310" s="42"/>
      <c r="AV310" s="42"/>
      <c r="AW310" s="42"/>
      <c r="AX310" s="109"/>
      <c r="AY310" s="109"/>
      <c r="AZ310" s="53"/>
      <c r="BC310" s="139"/>
      <c r="BD310" s="147"/>
      <c r="BE310" s="147"/>
      <c r="BF310" s="147"/>
      <c r="BG310" s="147"/>
      <c r="BH310" s="147"/>
      <c r="BI310" s="53"/>
    </row>
    <row r="311" spans="8:61" ht="12">
      <c r="H311" s="60" t="s">
        <v>100</v>
      </c>
      <c r="I311" s="60"/>
      <c r="J311" s="60"/>
      <c r="K311" s="65">
        <v>2950</v>
      </c>
      <c r="L311" s="65"/>
      <c r="M311" s="65"/>
      <c r="N311" s="65"/>
      <c r="O311" s="65"/>
      <c r="P311" s="66">
        <f>AVERAGE(K311:O311)</f>
        <v>2950</v>
      </c>
      <c r="Q311" s="25" t="s">
        <v>73</v>
      </c>
      <c r="S311" s="132">
        <f aca="true" t="shared" si="132" ref="S311:S316">T311-X311</f>
        <v>11535</v>
      </c>
      <c r="T311" s="42">
        <v>26970</v>
      </c>
      <c r="U311" s="42">
        <v>22390</v>
      </c>
      <c r="V311" s="42">
        <v>15776</v>
      </c>
      <c r="W311" s="42">
        <v>15412</v>
      </c>
      <c r="X311" s="42">
        <v>15435</v>
      </c>
      <c r="Y311" s="53">
        <f aca="true" t="shared" si="133" ref="Y311:Y316">AVERAGE(T311:X311)</f>
        <v>19196.6</v>
      </c>
      <c r="Z311" s="25" t="s">
        <v>73</v>
      </c>
      <c r="AB311" s="132">
        <f aca="true" t="shared" si="134" ref="AB311:AB316">AC311-AG311</f>
        <v>-350</v>
      </c>
      <c r="AC311" s="42">
        <v>10267</v>
      </c>
      <c r="AD311" s="42">
        <v>10073</v>
      </c>
      <c r="AE311" s="42">
        <v>11772</v>
      </c>
      <c r="AF311" s="42">
        <v>11286</v>
      </c>
      <c r="AG311" s="42">
        <v>10617</v>
      </c>
      <c r="AH311" s="53">
        <f aca="true" t="shared" si="135" ref="AH311:AH316">AVERAGE(AC311:AG311)</f>
        <v>10803</v>
      </c>
      <c r="AI311" s="25" t="s">
        <v>73</v>
      </c>
      <c r="AJ311" s="25"/>
      <c r="AK311" s="132">
        <f aca="true" t="shared" si="136" ref="AK311:AK316">AL311-AP311</f>
        <v>-700</v>
      </c>
      <c r="AL311" s="42">
        <f aca="true" t="shared" si="137" ref="AL311:AP316">2*AC311</f>
        <v>20534</v>
      </c>
      <c r="AM311" s="42">
        <f t="shared" si="137"/>
        <v>20146</v>
      </c>
      <c r="AN311" s="42">
        <f t="shared" si="137"/>
        <v>23544</v>
      </c>
      <c r="AO311" s="42">
        <f t="shared" si="137"/>
        <v>22572</v>
      </c>
      <c r="AP311" s="42">
        <f t="shared" si="137"/>
        <v>21234</v>
      </c>
      <c r="AQ311" s="53">
        <f aca="true" t="shared" si="138" ref="AQ311:AQ316">AVERAGE(AL311:AP311)</f>
        <v>21606</v>
      </c>
      <c r="AR311" s="25" t="s">
        <v>73</v>
      </c>
      <c r="AT311" s="132">
        <f aca="true" t="shared" si="139" ref="AT311:AT316">AU311-AY311</f>
        <v>1070</v>
      </c>
      <c r="AU311" s="42">
        <v>2415</v>
      </c>
      <c r="AV311" s="42">
        <v>2173</v>
      </c>
      <c r="AW311" s="42">
        <v>2125</v>
      </c>
      <c r="AX311" s="109">
        <v>1158</v>
      </c>
      <c r="AY311" s="109">
        <v>1345</v>
      </c>
      <c r="AZ311" s="53">
        <f aca="true" t="shared" si="140" ref="AZ311:AZ316">AVERAGE(AU311:AY311)</f>
        <v>1843.2</v>
      </c>
      <c r="BA311" s="133" t="s">
        <v>73</v>
      </c>
      <c r="BB311" s="139"/>
      <c r="BC311" s="146">
        <f aca="true" t="shared" si="141" ref="BC311:BC316">BD311-BH311</f>
        <v>-275</v>
      </c>
      <c r="BD311" s="147">
        <v>2415</v>
      </c>
      <c r="BE311" s="147">
        <v>2173</v>
      </c>
      <c r="BF311" s="147">
        <v>2125</v>
      </c>
      <c r="BG311" s="147">
        <f aca="true" t="shared" si="142" ref="BG311:BG316">2*AX311</f>
        <v>2316</v>
      </c>
      <c r="BH311" s="147">
        <f aca="true" t="shared" si="143" ref="BH311:BH316">2*AY311</f>
        <v>2690</v>
      </c>
      <c r="BI311" s="53">
        <f aca="true" t="shared" si="144" ref="BI311:BI316">AVERAGE(BD311:BH311)</f>
        <v>2343.8</v>
      </c>
    </row>
    <row r="312" spans="8:61" ht="12">
      <c r="H312" s="64"/>
      <c r="I312" s="64"/>
      <c r="J312" s="64"/>
      <c r="K312" s="65"/>
      <c r="L312" s="65"/>
      <c r="M312" s="65"/>
      <c r="N312" s="65"/>
      <c r="O312" s="65"/>
      <c r="P312" s="66"/>
      <c r="Q312" s="25" t="s">
        <v>74</v>
      </c>
      <c r="S312" s="132">
        <f t="shared" si="132"/>
        <v>6942</v>
      </c>
      <c r="T312" s="42">
        <f>16019+178</f>
        <v>16197</v>
      </c>
      <c r="U312" s="42">
        <f>13272+25</f>
        <v>13297</v>
      </c>
      <c r="V312" s="42">
        <v>9382</v>
      </c>
      <c r="W312" s="42">
        <v>9175</v>
      </c>
      <c r="X312" s="42">
        <v>9255</v>
      </c>
      <c r="Y312" s="53">
        <f t="shared" si="133"/>
        <v>11461.2</v>
      </c>
      <c r="Z312" s="25" t="s">
        <v>74</v>
      </c>
      <c r="AB312" s="132">
        <f t="shared" si="134"/>
        <v>-284</v>
      </c>
      <c r="AC312" s="42">
        <v>9812</v>
      </c>
      <c r="AD312" s="42">
        <v>9685</v>
      </c>
      <c r="AE312" s="42">
        <v>11276</v>
      </c>
      <c r="AF312" s="42">
        <v>10780</v>
      </c>
      <c r="AG312" s="42">
        <v>10096</v>
      </c>
      <c r="AH312" s="53">
        <f t="shared" si="135"/>
        <v>10329.8</v>
      </c>
      <c r="AI312" s="25" t="s">
        <v>74</v>
      </c>
      <c r="AJ312" s="25"/>
      <c r="AK312" s="132">
        <f t="shared" si="136"/>
        <v>-568</v>
      </c>
      <c r="AL312" s="42">
        <f t="shared" si="137"/>
        <v>19624</v>
      </c>
      <c r="AM312" s="42">
        <f t="shared" si="137"/>
        <v>19370</v>
      </c>
      <c r="AN312" s="42">
        <f t="shared" si="137"/>
        <v>22552</v>
      </c>
      <c r="AO312" s="42">
        <f t="shared" si="137"/>
        <v>21560</v>
      </c>
      <c r="AP312" s="42">
        <f t="shared" si="137"/>
        <v>20192</v>
      </c>
      <c r="AQ312" s="53">
        <f t="shared" si="138"/>
        <v>20659.6</v>
      </c>
      <c r="AR312" s="25" t="s">
        <v>74</v>
      </c>
      <c r="AT312" s="132">
        <f t="shared" si="139"/>
        <v>432</v>
      </c>
      <c r="AU312" s="42">
        <v>1629</v>
      </c>
      <c r="AV312" s="42">
        <v>1749</v>
      </c>
      <c r="AW312" s="42">
        <v>2037</v>
      </c>
      <c r="AX312" s="109">
        <f>AX311-AX313</f>
        <v>1081</v>
      </c>
      <c r="AY312" s="109">
        <f>AY311-AY313</f>
        <v>1197</v>
      </c>
      <c r="AZ312" s="53">
        <f t="shared" si="140"/>
        <v>1538.6</v>
      </c>
      <c r="BA312" s="133" t="s">
        <v>74</v>
      </c>
      <c r="BC312" s="146">
        <f t="shared" si="141"/>
        <v>-765</v>
      </c>
      <c r="BD312" s="147">
        <v>1629</v>
      </c>
      <c r="BE312" s="147">
        <v>1749</v>
      </c>
      <c r="BF312" s="147">
        <v>2037</v>
      </c>
      <c r="BG312" s="147">
        <f t="shared" si="142"/>
        <v>2162</v>
      </c>
      <c r="BH312" s="147">
        <f t="shared" si="143"/>
        <v>2394</v>
      </c>
      <c r="BI312" s="53">
        <f t="shared" si="144"/>
        <v>1994.2</v>
      </c>
    </row>
    <row r="313" spans="8:61" ht="12">
      <c r="H313" s="60" t="s">
        <v>73</v>
      </c>
      <c r="I313" s="60"/>
      <c r="J313" s="60"/>
      <c r="K313" s="65">
        <v>5548</v>
      </c>
      <c r="L313" s="65"/>
      <c r="M313" s="65"/>
      <c r="N313" s="65"/>
      <c r="O313" s="65"/>
      <c r="P313" s="66">
        <f aca="true" t="shared" si="145" ref="P313:P318">AVERAGE(K313:O313)</f>
        <v>5548</v>
      </c>
      <c r="Q313" s="25" t="s">
        <v>116</v>
      </c>
      <c r="S313" s="132">
        <f t="shared" si="132"/>
        <v>4593</v>
      </c>
      <c r="T313" s="42">
        <f>T311-T312</f>
        <v>10773</v>
      </c>
      <c r="U313" s="42">
        <f>U311-U312</f>
        <v>9093</v>
      </c>
      <c r="V313" s="42">
        <f>V311-V312</f>
        <v>6394</v>
      </c>
      <c r="W313" s="42">
        <f>W311-W312</f>
        <v>6237</v>
      </c>
      <c r="X313" s="42">
        <f>X311-X312</f>
        <v>6180</v>
      </c>
      <c r="Y313" s="53">
        <f t="shared" si="133"/>
        <v>7735.4</v>
      </c>
      <c r="Z313" s="25" t="s">
        <v>116</v>
      </c>
      <c r="AB313" s="132">
        <f t="shared" si="134"/>
        <v>-66</v>
      </c>
      <c r="AC313" s="42">
        <f>AC311-AC312</f>
        <v>455</v>
      </c>
      <c r="AD313" s="42">
        <f>AD311-AD312</f>
        <v>388</v>
      </c>
      <c r="AE313" s="42">
        <f>AE311-AE312</f>
        <v>496</v>
      </c>
      <c r="AF313" s="42">
        <f>AF311-AF312</f>
        <v>506</v>
      </c>
      <c r="AG313" s="42">
        <f>AG311-AG312</f>
        <v>521</v>
      </c>
      <c r="AH313" s="53">
        <f t="shared" si="135"/>
        <v>473.2</v>
      </c>
      <c r="AI313" s="25" t="s">
        <v>116</v>
      </c>
      <c r="AJ313" s="25"/>
      <c r="AK313" s="132">
        <f t="shared" si="136"/>
        <v>-132</v>
      </c>
      <c r="AL313" s="42">
        <f t="shared" si="137"/>
        <v>910</v>
      </c>
      <c r="AM313" s="42">
        <f t="shared" si="137"/>
        <v>776</v>
      </c>
      <c r="AN313" s="42">
        <f t="shared" si="137"/>
        <v>992</v>
      </c>
      <c r="AO313" s="42">
        <f t="shared" si="137"/>
        <v>1012</v>
      </c>
      <c r="AP313" s="42">
        <f t="shared" si="137"/>
        <v>1042</v>
      </c>
      <c r="AQ313" s="53">
        <f t="shared" si="138"/>
        <v>946.4</v>
      </c>
      <c r="AR313" s="25" t="s">
        <v>116</v>
      </c>
      <c r="AT313" s="132">
        <f t="shared" si="139"/>
        <v>638</v>
      </c>
      <c r="AU313" s="42">
        <f>AU311-AU312</f>
        <v>786</v>
      </c>
      <c r="AV313" s="42">
        <f>AV311-AV312</f>
        <v>424</v>
      </c>
      <c r="AW313" s="42">
        <f>AW311-AW312</f>
        <v>88</v>
      </c>
      <c r="AX313" s="109">
        <v>77</v>
      </c>
      <c r="AY313" s="109">
        <v>148</v>
      </c>
      <c r="AZ313" s="53">
        <f t="shared" si="140"/>
        <v>304.6</v>
      </c>
      <c r="BA313" s="133" t="s">
        <v>116</v>
      </c>
      <c r="BC313" s="146">
        <f t="shared" si="141"/>
        <v>490</v>
      </c>
      <c r="BD313" s="147">
        <f>BD311-BD312</f>
        <v>786</v>
      </c>
      <c r="BE313" s="147">
        <f>BE311-BE312</f>
        <v>424</v>
      </c>
      <c r="BF313" s="147">
        <f>BF311-BF312</f>
        <v>88</v>
      </c>
      <c r="BG313" s="147">
        <f t="shared" si="142"/>
        <v>154</v>
      </c>
      <c r="BH313" s="147">
        <f t="shared" si="143"/>
        <v>296</v>
      </c>
      <c r="BI313" s="53">
        <f t="shared" si="144"/>
        <v>349.6</v>
      </c>
    </row>
    <row r="314" spans="8:61" ht="12">
      <c r="H314" s="60" t="s">
        <v>74</v>
      </c>
      <c r="I314" s="60"/>
      <c r="J314" s="60"/>
      <c r="K314" s="65">
        <v>3686</v>
      </c>
      <c r="L314" s="65"/>
      <c r="M314" s="65"/>
      <c r="N314" s="65"/>
      <c r="O314" s="65"/>
      <c r="P314" s="66">
        <f t="shared" si="145"/>
        <v>3686</v>
      </c>
      <c r="Q314" s="25" t="s">
        <v>82</v>
      </c>
      <c r="S314" s="132">
        <f t="shared" si="132"/>
        <v>265</v>
      </c>
      <c r="T314" s="42">
        <v>600</v>
      </c>
      <c r="U314" s="42">
        <v>457</v>
      </c>
      <c r="V314" s="42">
        <v>300</v>
      </c>
      <c r="W314" s="42">
        <v>269</v>
      </c>
      <c r="X314" s="42">
        <v>335</v>
      </c>
      <c r="Y314" s="53">
        <f t="shared" si="133"/>
        <v>392.2</v>
      </c>
      <c r="Z314" s="25" t="s">
        <v>82</v>
      </c>
      <c r="AB314" s="132">
        <f t="shared" si="134"/>
        <v>-172</v>
      </c>
      <c r="AC314" s="42">
        <v>3</v>
      </c>
      <c r="AD314" s="42">
        <v>161</v>
      </c>
      <c r="AE314" s="42">
        <v>134</v>
      </c>
      <c r="AF314" s="42">
        <v>163</v>
      </c>
      <c r="AG314" s="42">
        <v>175</v>
      </c>
      <c r="AH314" s="53">
        <f t="shared" si="135"/>
        <v>127.2</v>
      </c>
      <c r="AI314" s="25" t="s">
        <v>82</v>
      </c>
      <c r="AJ314" s="25"/>
      <c r="AK314" s="132">
        <f t="shared" si="136"/>
        <v>-344</v>
      </c>
      <c r="AL314" s="42">
        <f t="shared" si="137"/>
        <v>6</v>
      </c>
      <c r="AM314" s="42">
        <f t="shared" si="137"/>
        <v>322</v>
      </c>
      <c r="AN314" s="42">
        <f t="shared" si="137"/>
        <v>268</v>
      </c>
      <c r="AO314" s="42">
        <f t="shared" si="137"/>
        <v>326</v>
      </c>
      <c r="AP314" s="42">
        <f t="shared" si="137"/>
        <v>350</v>
      </c>
      <c r="AQ314" s="53">
        <f t="shared" si="138"/>
        <v>254.4</v>
      </c>
      <c r="AR314" s="25" t="s">
        <v>82</v>
      </c>
      <c r="AT314" s="132">
        <f t="shared" si="139"/>
        <v>35</v>
      </c>
      <c r="AU314" s="42">
        <v>84</v>
      </c>
      <c r="AV314" s="42">
        <v>88</v>
      </c>
      <c r="AW314" s="42">
        <v>85</v>
      </c>
      <c r="AX314" s="109">
        <v>50</v>
      </c>
      <c r="AY314" s="109">
        <v>49</v>
      </c>
      <c r="AZ314" s="53">
        <f t="shared" si="140"/>
        <v>71.2</v>
      </c>
      <c r="BA314" s="133" t="s">
        <v>82</v>
      </c>
      <c r="BC314" s="146">
        <f t="shared" si="141"/>
        <v>-14</v>
      </c>
      <c r="BD314" s="147">
        <v>84</v>
      </c>
      <c r="BE314" s="147">
        <v>88</v>
      </c>
      <c r="BF314" s="147">
        <v>85</v>
      </c>
      <c r="BG314" s="147">
        <f t="shared" si="142"/>
        <v>100</v>
      </c>
      <c r="BH314" s="147">
        <f t="shared" si="143"/>
        <v>98</v>
      </c>
      <c r="BI314" s="53">
        <f t="shared" si="144"/>
        <v>91</v>
      </c>
    </row>
    <row r="315" spans="8:61" ht="12">
      <c r="H315" s="60" t="s">
        <v>116</v>
      </c>
      <c r="I315" s="60"/>
      <c r="J315" s="60"/>
      <c r="K315" s="65">
        <f>K313-K314</f>
        <v>1862</v>
      </c>
      <c r="L315" s="65">
        <f>L313-L314</f>
        <v>0</v>
      </c>
      <c r="M315" s="65">
        <f>M313-M314</f>
        <v>0</v>
      </c>
      <c r="N315" s="65">
        <f>N313-N314</f>
        <v>0</v>
      </c>
      <c r="O315" s="65">
        <f>O313-O314</f>
        <v>0</v>
      </c>
      <c r="P315" s="66">
        <f t="shared" si="145"/>
        <v>372.4</v>
      </c>
      <c r="Q315" s="25" t="s">
        <v>83</v>
      </c>
      <c r="S315" s="132">
        <f t="shared" si="132"/>
        <v>438</v>
      </c>
      <c r="T315" s="42">
        <v>561</v>
      </c>
      <c r="U315" s="42">
        <v>481</v>
      </c>
      <c r="V315" s="42">
        <v>322</v>
      </c>
      <c r="W315" s="42">
        <v>60</v>
      </c>
      <c r="X315" s="42">
        <v>123</v>
      </c>
      <c r="Y315" s="53">
        <f t="shared" si="133"/>
        <v>309.4</v>
      </c>
      <c r="Z315" s="25" t="s">
        <v>83</v>
      </c>
      <c r="AB315" s="132">
        <f t="shared" si="134"/>
        <v>24</v>
      </c>
      <c r="AC315" s="42">
        <v>97</v>
      </c>
      <c r="AD315" s="42">
        <v>91</v>
      </c>
      <c r="AE315" s="42">
        <v>112</v>
      </c>
      <c r="AF315" s="42">
        <v>86</v>
      </c>
      <c r="AG315" s="42">
        <v>73</v>
      </c>
      <c r="AH315" s="53">
        <f t="shared" si="135"/>
        <v>91.8</v>
      </c>
      <c r="AI315" s="25" t="s">
        <v>83</v>
      </c>
      <c r="AJ315" s="25"/>
      <c r="AK315" s="132">
        <f t="shared" si="136"/>
        <v>48</v>
      </c>
      <c r="AL315" s="42">
        <f t="shared" si="137"/>
        <v>194</v>
      </c>
      <c r="AM315" s="42">
        <f t="shared" si="137"/>
        <v>182</v>
      </c>
      <c r="AN315" s="42">
        <f t="shared" si="137"/>
        <v>224</v>
      </c>
      <c r="AO315" s="42">
        <f t="shared" si="137"/>
        <v>172</v>
      </c>
      <c r="AP315" s="42">
        <f t="shared" si="137"/>
        <v>146</v>
      </c>
      <c r="AQ315" s="53">
        <f t="shared" si="138"/>
        <v>183.6</v>
      </c>
      <c r="AR315" s="25" t="s">
        <v>83</v>
      </c>
      <c r="AT315" s="132">
        <f t="shared" si="139"/>
        <v>107</v>
      </c>
      <c r="AU315" s="42">
        <v>213</v>
      </c>
      <c r="AV315" s="42">
        <v>119</v>
      </c>
      <c r="AW315" s="42">
        <v>133</v>
      </c>
      <c r="AX315" s="109">
        <v>-120</v>
      </c>
      <c r="AY315" s="109">
        <v>106</v>
      </c>
      <c r="AZ315" s="53">
        <f t="shared" si="140"/>
        <v>90.2</v>
      </c>
      <c r="BA315" s="133" t="s">
        <v>83</v>
      </c>
      <c r="BC315" s="146">
        <f t="shared" si="141"/>
        <v>1</v>
      </c>
      <c r="BD315" s="147">
        <v>213</v>
      </c>
      <c r="BE315" s="147">
        <v>119</v>
      </c>
      <c r="BF315" s="147">
        <v>133</v>
      </c>
      <c r="BG315" s="147">
        <f t="shared" si="142"/>
        <v>-240</v>
      </c>
      <c r="BH315" s="147">
        <f t="shared" si="143"/>
        <v>212</v>
      </c>
      <c r="BI315" s="53">
        <f t="shared" si="144"/>
        <v>87.4</v>
      </c>
    </row>
    <row r="316" spans="8:61" ht="12">
      <c r="H316" s="60" t="s">
        <v>82</v>
      </c>
      <c r="I316" s="60"/>
      <c r="J316" s="60"/>
      <c r="K316" s="65">
        <v>90.4</v>
      </c>
      <c r="L316" s="65"/>
      <c r="M316" s="65"/>
      <c r="N316" s="65"/>
      <c r="O316" s="65"/>
      <c r="P316" s="66">
        <f t="shared" si="145"/>
        <v>90.4</v>
      </c>
      <c r="Q316" s="25" t="s">
        <v>98</v>
      </c>
      <c r="S316" s="132">
        <f t="shared" si="132"/>
        <v>177</v>
      </c>
      <c r="T316" s="42">
        <v>995</v>
      </c>
      <c r="U316" s="42">
        <v>1406</v>
      </c>
      <c r="V316" s="42">
        <v>689</v>
      </c>
      <c r="W316" s="42">
        <v>693</v>
      </c>
      <c r="X316" s="42">
        <v>818</v>
      </c>
      <c r="Y316" s="53">
        <f t="shared" si="133"/>
        <v>920.2</v>
      </c>
      <c r="Z316" s="25" t="s">
        <v>98</v>
      </c>
      <c r="AB316" s="132">
        <f t="shared" si="134"/>
        <v>73</v>
      </c>
      <c r="AC316" s="42">
        <v>295</v>
      </c>
      <c r="AD316" s="42">
        <v>209</v>
      </c>
      <c r="AE316" s="42">
        <v>180</v>
      </c>
      <c r="AF316" s="42">
        <v>184</v>
      </c>
      <c r="AG316" s="42">
        <v>222</v>
      </c>
      <c r="AH316" s="53">
        <f t="shared" si="135"/>
        <v>218</v>
      </c>
      <c r="AI316" s="25" t="s">
        <v>98</v>
      </c>
      <c r="AJ316" s="25"/>
      <c r="AK316" s="132">
        <f t="shared" si="136"/>
        <v>146</v>
      </c>
      <c r="AL316" s="42">
        <f t="shared" si="137"/>
        <v>590</v>
      </c>
      <c r="AM316" s="42">
        <f t="shared" si="137"/>
        <v>418</v>
      </c>
      <c r="AN316" s="42">
        <f t="shared" si="137"/>
        <v>360</v>
      </c>
      <c r="AO316" s="42">
        <f t="shared" si="137"/>
        <v>368</v>
      </c>
      <c r="AP316" s="42">
        <f t="shared" si="137"/>
        <v>444</v>
      </c>
      <c r="AQ316" s="53">
        <f t="shared" si="138"/>
        <v>436</v>
      </c>
      <c r="AR316" s="25" t="s">
        <v>162</v>
      </c>
      <c r="AT316" s="132">
        <f t="shared" si="139"/>
        <v>473</v>
      </c>
      <c r="AU316" s="42">
        <v>490</v>
      </c>
      <c r="AV316" s="42">
        <v>212</v>
      </c>
      <c r="AW316" s="42">
        <v>-36</v>
      </c>
      <c r="AX316" s="109">
        <v>-17</v>
      </c>
      <c r="AY316" s="109">
        <v>17</v>
      </c>
      <c r="AZ316" s="53">
        <f t="shared" si="140"/>
        <v>133.2</v>
      </c>
      <c r="BA316" s="133" t="s">
        <v>162</v>
      </c>
      <c r="BC316" s="146">
        <f t="shared" si="141"/>
        <v>456</v>
      </c>
      <c r="BD316" s="147">
        <v>490</v>
      </c>
      <c r="BE316" s="147">
        <v>212</v>
      </c>
      <c r="BF316" s="147">
        <v>-36</v>
      </c>
      <c r="BG316" s="147">
        <f t="shared" si="142"/>
        <v>-34</v>
      </c>
      <c r="BH316" s="147">
        <f t="shared" si="143"/>
        <v>34</v>
      </c>
      <c r="BI316" s="53">
        <f t="shared" si="144"/>
        <v>133.2</v>
      </c>
    </row>
    <row r="317" spans="8:61" ht="12">
      <c r="H317" s="60" t="s">
        <v>83</v>
      </c>
      <c r="I317" s="60"/>
      <c r="J317" s="60"/>
      <c r="K317" s="65">
        <v>96</v>
      </c>
      <c r="L317" s="65"/>
      <c r="M317" s="65"/>
      <c r="N317" s="65"/>
      <c r="O317" s="65"/>
      <c r="P317" s="66">
        <f t="shared" si="145"/>
        <v>96</v>
      </c>
      <c r="Q317" s="22"/>
      <c r="R317" s="22"/>
      <c r="S317" s="22"/>
      <c r="T317" s="42"/>
      <c r="U317" s="42"/>
      <c r="V317" s="42"/>
      <c r="W317" s="42"/>
      <c r="X317" s="42"/>
      <c r="Y317" s="53"/>
      <c r="Z317" s="22"/>
      <c r="AA317" s="22"/>
      <c r="AB317" s="22"/>
      <c r="AC317" s="42"/>
      <c r="AD317" s="42"/>
      <c r="AE317" s="42"/>
      <c r="AF317" s="42"/>
      <c r="AG317" s="42"/>
      <c r="AH317" s="53"/>
      <c r="AI317" s="22"/>
      <c r="AJ317" s="22"/>
      <c r="AK317" s="22"/>
      <c r="AL317" s="42"/>
      <c r="AM317" s="42"/>
      <c r="AN317" s="42"/>
      <c r="AO317" s="42"/>
      <c r="AP317" s="42"/>
      <c r="AQ317" s="53"/>
      <c r="AR317" s="22"/>
      <c r="AS317" s="22"/>
      <c r="AT317" s="22"/>
      <c r="AU317" s="42"/>
      <c r="AV317" s="42"/>
      <c r="AW317" s="42"/>
      <c r="AX317" s="109"/>
      <c r="AY317" s="109"/>
      <c r="AZ317" s="53"/>
      <c r="BC317" s="139"/>
      <c r="BD317" s="147"/>
      <c r="BE317" s="147"/>
      <c r="BF317" s="147"/>
      <c r="BG317" s="147"/>
      <c r="BH317" s="147"/>
      <c r="BI317" s="53"/>
    </row>
    <row r="318" spans="8:61" ht="12">
      <c r="H318" s="60" t="s">
        <v>98</v>
      </c>
      <c r="I318" s="60"/>
      <c r="J318" s="60"/>
      <c r="K318" s="65">
        <v>176</v>
      </c>
      <c r="L318" s="65"/>
      <c r="M318" s="65"/>
      <c r="N318" s="65"/>
      <c r="O318" s="65"/>
      <c r="P318" s="66">
        <f t="shared" si="145"/>
        <v>176</v>
      </c>
      <c r="Q318" s="25" t="s">
        <v>60</v>
      </c>
      <c r="S318" s="28" t="s">
        <v>17</v>
      </c>
      <c r="T318" s="28" t="s">
        <v>38</v>
      </c>
      <c r="U318" s="28" t="s">
        <v>38</v>
      </c>
      <c r="V318" s="28" t="s">
        <v>38</v>
      </c>
      <c r="W318" s="28" t="s">
        <v>38</v>
      </c>
      <c r="X318" s="28" t="s">
        <v>38</v>
      </c>
      <c r="Y318" s="143" t="s">
        <v>38</v>
      </c>
      <c r="AH318" s="137"/>
      <c r="AI318" s="25" t="s">
        <v>60</v>
      </c>
      <c r="AJ318" s="25"/>
      <c r="AK318" s="28" t="s">
        <v>17</v>
      </c>
      <c r="AL318" s="28" t="s">
        <v>38</v>
      </c>
      <c r="AM318" s="28" t="s">
        <v>38</v>
      </c>
      <c r="AN318" s="28" t="s">
        <v>38</v>
      </c>
      <c r="AO318" s="28" t="s">
        <v>38</v>
      </c>
      <c r="AP318" s="28" t="s">
        <v>38</v>
      </c>
      <c r="AQ318" s="143" t="s">
        <v>38</v>
      </c>
      <c r="AX318" s="107"/>
      <c r="AY318" s="107"/>
      <c r="AZ318" s="137"/>
      <c r="BC318" s="143" t="s">
        <v>17</v>
      </c>
      <c r="BD318" s="143" t="s">
        <v>38</v>
      </c>
      <c r="BE318" s="143" t="s">
        <v>38</v>
      </c>
      <c r="BF318" s="143" t="s">
        <v>38</v>
      </c>
      <c r="BG318" s="143" t="s">
        <v>38</v>
      </c>
      <c r="BH318" s="143" t="s">
        <v>38</v>
      </c>
      <c r="BI318" s="143" t="s">
        <v>38</v>
      </c>
    </row>
    <row r="319" spans="8:61" ht="12">
      <c r="H319" s="64"/>
      <c r="I319" s="64"/>
      <c r="J319" s="64"/>
      <c r="K319" s="65"/>
      <c r="L319" s="65"/>
      <c r="M319" s="65"/>
      <c r="N319" s="65"/>
      <c r="O319" s="65"/>
      <c r="P319" s="66"/>
      <c r="R319" s="25" t="s">
        <v>61</v>
      </c>
      <c r="S319" s="44">
        <f>T319-X319</f>
        <v>-2.3100000000000005</v>
      </c>
      <c r="T319" s="54">
        <v>1.84</v>
      </c>
      <c r="U319" s="54">
        <v>3.3</v>
      </c>
      <c r="V319" s="54">
        <v>1.97</v>
      </c>
      <c r="W319" s="54">
        <v>3.76</v>
      </c>
      <c r="X319" s="54">
        <v>4.15</v>
      </c>
      <c r="Y319" s="140">
        <f>AVERAGE(T319:X319)</f>
        <v>3.004</v>
      </c>
      <c r="AC319" s="42"/>
      <c r="AD319" s="42"/>
      <c r="AE319" s="42"/>
      <c r="AF319" s="42"/>
      <c r="AG319" s="42"/>
      <c r="AH319" s="53"/>
      <c r="AI319" s="25"/>
      <c r="AJ319" s="25" t="s">
        <v>61</v>
      </c>
      <c r="AK319" s="44">
        <f>AL319-AP319</f>
        <v>0.06</v>
      </c>
      <c r="AL319" s="33">
        <f aca="true" t="shared" si="146" ref="AL319:AP320">2*AC321</f>
        <v>0.26</v>
      </c>
      <c r="AM319" s="33">
        <f t="shared" si="146"/>
        <v>0.18</v>
      </c>
      <c r="AN319" s="33">
        <f t="shared" si="146"/>
        <v>0.16</v>
      </c>
      <c r="AO319" s="33">
        <f t="shared" si="146"/>
        <v>0.16</v>
      </c>
      <c r="AP319" s="33">
        <f t="shared" si="146"/>
        <v>0.2</v>
      </c>
      <c r="AQ319" s="140">
        <f>AVERAGE(AL319:AP319)</f>
        <v>0.192</v>
      </c>
      <c r="AU319" s="42"/>
      <c r="AV319" s="42"/>
      <c r="AW319" s="42"/>
      <c r="AX319" s="109"/>
      <c r="AY319" s="109"/>
      <c r="AZ319" s="53"/>
      <c r="BA319" s="133" t="s">
        <v>60</v>
      </c>
      <c r="BC319" s="148">
        <f>BD319-BH319</f>
        <v>0.05999999999999994</v>
      </c>
      <c r="BD319" s="150">
        <v>0.62</v>
      </c>
      <c r="BE319" s="150">
        <v>0.27</v>
      </c>
      <c r="BF319" s="150">
        <v>-0.05</v>
      </c>
      <c r="BG319" s="149">
        <f>2*AX321</f>
        <v>0.46</v>
      </c>
      <c r="BH319" s="149">
        <f>2*AY321</f>
        <v>0.56</v>
      </c>
      <c r="BI319" s="140">
        <f>AVERAGE(BD319:BH319)</f>
        <v>0.372</v>
      </c>
    </row>
    <row r="320" spans="8:61" ht="12">
      <c r="H320" s="60"/>
      <c r="I320" s="60"/>
      <c r="J320" s="60"/>
      <c r="K320" s="60"/>
      <c r="L320" s="60"/>
      <c r="M320" s="60"/>
      <c r="N320" s="60"/>
      <c r="O320" s="60"/>
      <c r="P320" s="61"/>
      <c r="R320" s="25" t="s">
        <v>62</v>
      </c>
      <c r="S320" s="44">
        <f>T320-X320</f>
        <v>-2.31</v>
      </c>
      <c r="T320" s="54">
        <v>1.81</v>
      </c>
      <c r="U320" s="54">
        <v>3.24</v>
      </c>
      <c r="V320" s="54">
        <v>1.93</v>
      </c>
      <c r="W320" s="54">
        <v>3.71</v>
      </c>
      <c r="X320" s="54">
        <v>4.12</v>
      </c>
      <c r="Y320" s="140">
        <f>AVERAGE(T320:X320)</f>
        <v>2.9620000000000006</v>
      </c>
      <c r="Z320" s="25" t="s">
        <v>60</v>
      </c>
      <c r="AB320" s="28" t="s">
        <v>17</v>
      </c>
      <c r="AC320" s="28" t="s">
        <v>68</v>
      </c>
      <c r="AD320" s="28" t="s">
        <v>68</v>
      </c>
      <c r="AE320" s="28" t="s">
        <v>68</v>
      </c>
      <c r="AF320" s="28" t="s">
        <v>68</v>
      </c>
      <c r="AG320" s="28" t="s">
        <v>68</v>
      </c>
      <c r="AH320" s="138" t="s">
        <v>68</v>
      </c>
      <c r="AI320" s="25"/>
      <c r="AJ320" s="25" t="s">
        <v>62</v>
      </c>
      <c r="AK320" s="44">
        <f>AL320-AP320</f>
        <v>0.06</v>
      </c>
      <c r="AL320" s="33">
        <f t="shared" si="146"/>
        <v>0.26</v>
      </c>
      <c r="AM320" s="33">
        <f t="shared" si="146"/>
        <v>0.18</v>
      </c>
      <c r="AN320" s="33">
        <f t="shared" si="146"/>
        <v>0.16</v>
      </c>
      <c r="AO320" s="33">
        <f t="shared" si="146"/>
        <v>0.16</v>
      </c>
      <c r="AP320" s="33">
        <f t="shared" si="146"/>
        <v>0.2</v>
      </c>
      <c r="AQ320" s="140">
        <f>AVERAGE(AL320:AP320)</f>
        <v>0.192</v>
      </c>
      <c r="AR320" s="25" t="s">
        <v>60</v>
      </c>
      <c r="AT320" s="28" t="s">
        <v>17</v>
      </c>
      <c r="AU320" s="28" t="s">
        <v>38</v>
      </c>
      <c r="AV320" s="28" t="s">
        <v>38</v>
      </c>
      <c r="AW320" s="28" t="s">
        <v>38</v>
      </c>
      <c r="AX320" s="108" t="s">
        <v>68</v>
      </c>
      <c r="AY320" s="108" t="s">
        <v>68</v>
      </c>
      <c r="AZ320" s="143" t="s">
        <v>38</v>
      </c>
      <c r="BB320" s="133" t="s">
        <v>61</v>
      </c>
      <c r="BC320" s="148">
        <f>BD320-BH320</f>
        <v>0.05999999999999994</v>
      </c>
      <c r="BD320" s="150">
        <v>0.6</v>
      </c>
      <c r="BE320" s="150">
        <v>0.26</v>
      </c>
      <c r="BF320" s="150">
        <v>-0.05</v>
      </c>
      <c r="BG320" s="149">
        <f>2*AX322</f>
        <v>0.46</v>
      </c>
      <c r="BH320" s="149">
        <f>2*AY322</f>
        <v>0.54</v>
      </c>
      <c r="BI320" s="140">
        <f>AVERAGE(BD320:BH320)</f>
        <v>0.362</v>
      </c>
    </row>
    <row r="321" spans="8:61" ht="12">
      <c r="H321" s="60"/>
      <c r="I321" s="60"/>
      <c r="J321" s="60"/>
      <c r="K321" s="65"/>
      <c r="L321" s="65"/>
      <c r="M321" s="65"/>
      <c r="N321" s="65"/>
      <c r="O321" s="65"/>
      <c r="P321" s="66"/>
      <c r="AA321" s="25" t="s">
        <v>61</v>
      </c>
      <c r="AB321" s="44">
        <f>AC321-AG321</f>
        <v>0.03</v>
      </c>
      <c r="AC321" s="33">
        <v>0.13</v>
      </c>
      <c r="AD321" s="33">
        <v>0.09</v>
      </c>
      <c r="AE321" s="33">
        <v>0.08</v>
      </c>
      <c r="AF321" s="33">
        <v>0.08</v>
      </c>
      <c r="AG321" s="33">
        <v>0.1</v>
      </c>
      <c r="AH321" s="140">
        <f>AVERAGE(AC321:AG321)</f>
        <v>0.096</v>
      </c>
      <c r="AI321" s="25"/>
      <c r="AJ321" s="25"/>
      <c r="AK321" s="25"/>
      <c r="AL321" s="25"/>
      <c r="AM321" s="25"/>
      <c r="AN321" s="25"/>
      <c r="AO321" s="25"/>
      <c r="AP321" s="25"/>
      <c r="AQ321" s="137"/>
      <c r="AS321" s="25" t="s">
        <v>61</v>
      </c>
      <c r="AT321" s="44">
        <f>AU321-AY321</f>
        <v>0.33999999999999997</v>
      </c>
      <c r="AU321" s="54">
        <v>0.62</v>
      </c>
      <c r="AV321" s="54">
        <v>0.27</v>
      </c>
      <c r="AW321" s="54">
        <v>-0.05</v>
      </c>
      <c r="AX321" s="110">
        <v>0.23</v>
      </c>
      <c r="AY321" s="110">
        <v>0.28</v>
      </c>
      <c r="AZ321" s="140">
        <f>AVERAGE(AU321:AY321)</f>
        <v>0.27</v>
      </c>
      <c r="BB321" s="133" t="s">
        <v>62</v>
      </c>
      <c r="BI321" s="137"/>
    </row>
    <row r="322" spans="8:52" ht="12">
      <c r="H322" s="60" t="s">
        <v>60</v>
      </c>
      <c r="I322" s="60"/>
      <c r="J322" s="62" t="s">
        <v>17</v>
      </c>
      <c r="K322" s="62" t="s">
        <v>68</v>
      </c>
      <c r="L322" s="62" t="s">
        <v>68</v>
      </c>
      <c r="M322" s="62" t="s">
        <v>68</v>
      </c>
      <c r="N322" s="62" t="s">
        <v>68</v>
      </c>
      <c r="O322" s="62" t="s">
        <v>68</v>
      </c>
      <c r="P322" s="63" t="s">
        <v>68</v>
      </c>
      <c r="Q322" s="22" t="s">
        <v>77</v>
      </c>
      <c r="T322" s="28" t="s">
        <v>71</v>
      </c>
      <c r="U322" s="28" t="s">
        <v>71</v>
      </c>
      <c r="V322" s="28" t="s">
        <v>71</v>
      </c>
      <c r="W322" s="28" t="s">
        <v>71</v>
      </c>
      <c r="X322" s="28" t="s">
        <v>71</v>
      </c>
      <c r="Y322" s="138" t="s">
        <v>71</v>
      </c>
      <c r="AA322" s="25" t="s">
        <v>62</v>
      </c>
      <c r="AB322" s="44">
        <f>AC322-AG322</f>
        <v>0.03</v>
      </c>
      <c r="AC322" s="33">
        <v>0.13</v>
      </c>
      <c r="AD322" s="33">
        <v>0.09</v>
      </c>
      <c r="AE322" s="33">
        <v>0.08</v>
      </c>
      <c r="AF322" s="33">
        <v>0.08</v>
      </c>
      <c r="AG322" s="33">
        <v>0.1</v>
      </c>
      <c r="AH322" s="140">
        <f>AVERAGE(AC322:AG322)</f>
        <v>0.096</v>
      </c>
      <c r="AI322" s="22" t="s">
        <v>77</v>
      </c>
      <c r="AJ322" s="25"/>
      <c r="AK322" s="25"/>
      <c r="AL322" s="28" t="s">
        <v>71</v>
      </c>
      <c r="AM322" s="28" t="s">
        <v>71</v>
      </c>
      <c r="AN322" s="28" t="s">
        <v>71</v>
      </c>
      <c r="AO322" s="28" t="s">
        <v>71</v>
      </c>
      <c r="AP322" s="28" t="s">
        <v>71</v>
      </c>
      <c r="AQ322" s="138" t="s">
        <v>71</v>
      </c>
      <c r="AS322" s="25" t="s">
        <v>62</v>
      </c>
      <c r="AT322" s="44">
        <f>AU322-AY322</f>
        <v>0.32999999999999996</v>
      </c>
      <c r="AU322" s="54">
        <v>0.6</v>
      </c>
      <c r="AV322" s="54">
        <v>0.26</v>
      </c>
      <c r="AW322" s="54">
        <v>-0.05</v>
      </c>
      <c r="AX322" s="110">
        <v>0.23</v>
      </c>
      <c r="AY322" s="110">
        <v>0.27</v>
      </c>
      <c r="AZ322" s="140">
        <f>AVERAGE(AU322:AY322)</f>
        <v>0.262</v>
      </c>
    </row>
    <row r="323" spans="8:61" ht="12">
      <c r="H323" s="60"/>
      <c r="I323" s="60" t="s">
        <v>61</v>
      </c>
      <c r="J323" s="60"/>
      <c r="K323" s="60">
        <v>0.2</v>
      </c>
      <c r="L323" s="60"/>
      <c r="M323" s="60"/>
      <c r="N323" s="60"/>
      <c r="O323" s="60"/>
      <c r="P323" s="67">
        <f>AVERAGE(K323:O323)</f>
        <v>0.2</v>
      </c>
      <c r="T323" s="28" t="s">
        <v>38</v>
      </c>
      <c r="U323" s="28" t="s">
        <v>38</v>
      </c>
      <c r="V323" s="28" t="s">
        <v>38</v>
      </c>
      <c r="W323" s="28" t="s">
        <v>38</v>
      </c>
      <c r="X323" s="28" t="s">
        <v>38</v>
      </c>
      <c r="Y323" s="143" t="s">
        <v>38</v>
      </c>
      <c r="AH323" s="137"/>
      <c r="AI323" s="25"/>
      <c r="AJ323" s="25"/>
      <c r="AK323" s="25"/>
      <c r="AL323" s="28" t="s">
        <v>38</v>
      </c>
      <c r="AM323" s="28" t="s">
        <v>38</v>
      </c>
      <c r="AN323" s="28" t="s">
        <v>38</v>
      </c>
      <c r="AO323" s="28" t="s">
        <v>38</v>
      </c>
      <c r="AP323" s="28" t="s">
        <v>38</v>
      </c>
      <c r="AQ323" s="143" t="s">
        <v>38</v>
      </c>
      <c r="AX323" s="107"/>
      <c r="AY323" s="107"/>
      <c r="AZ323" s="137"/>
      <c r="BA323" s="139" t="s">
        <v>77</v>
      </c>
      <c r="BD323" s="143" t="s">
        <v>71</v>
      </c>
      <c r="BE323" s="143" t="s">
        <v>71</v>
      </c>
      <c r="BF323" s="143" t="s">
        <v>71</v>
      </c>
      <c r="BG323" s="143" t="s">
        <v>71</v>
      </c>
      <c r="BH323" s="143" t="s">
        <v>71</v>
      </c>
      <c r="BI323" s="138" t="s">
        <v>71</v>
      </c>
    </row>
    <row r="324" spans="8:61" ht="12">
      <c r="H324" s="60"/>
      <c r="I324" s="60" t="s">
        <v>62</v>
      </c>
      <c r="J324" s="60"/>
      <c r="K324" s="60">
        <v>0.2</v>
      </c>
      <c r="L324" s="60"/>
      <c r="M324" s="60"/>
      <c r="N324" s="60"/>
      <c r="O324" s="60"/>
      <c r="P324" s="67">
        <f>AVERAGE(K324:O324)</f>
        <v>0.2</v>
      </c>
      <c r="Q324" s="25" t="s">
        <v>79</v>
      </c>
      <c r="S324" s="132">
        <f>T324-X324</f>
        <v>2482</v>
      </c>
      <c r="T324" s="42">
        <v>3692</v>
      </c>
      <c r="U324" s="42">
        <v>4145</v>
      </c>
      <c r="V324" s="42">
        <v>1507</v>
      </c>
      <c r="W324" s="42">
        <v>1776</v>
      </c>
      <c r="X324" s="42">
        <v>1210</v>
      </c>
      <c r="Y324" s="53">
        <f>AVERAGE(T324:X324)</f>
        <v>2466</v>
      </c>
      <c r="Z324" s="22" t="s">
        <v>77</v>
      </c>
      <c r="AC324" s="28" t="s">
        <v>71</v>
      </c>
      <c r="AD324" s="28" t="s">
        <v>71</v>
      </c>
      <c r="AE324" s="28" t="s">
        <v>71</v>
      </c>
      <c r="AF324" s="28" t="s">
        <v>71</v>
      </c>
      <c r="AG324" s="28" t="s">
        <v>71</v>
      </c>
      <c r="AH324" s="138" t="s">
        <v>71</v>
      </c>
      <c r="AI324" s="25" t="s">
        <v>79</v>
      </c>
      <c r="AJ324" s="25"/>
      <c r="AK324" s="132">
        <f>AL324-AM324</f>
        <v>-202</v>
      </c>
      <c r="AL324" s="42">
        <f aca="true" t="shared" si="147" ref="AL324:AP326">2*AC326</f>
        <v>1094</v>
      </c>
      <c r="AM324" s="42">
        <f t="shared" si="147"/>
        <v>1296</v>
      </c>
      <c r="AN324" s="42">
        <f t="shared" si="147"/>
        <v>0</v>
      </c>
      <c r="AO324" s="42">
        <f t="shared" si="147"/>
        <v>0</v>
      </c>
      <c r="AP324" s="42">
        <f t="shared" si="147"/>
        <v>0</v>
      </c>
      <c r="AQ324" s="53">
        <f>AVERAGE(AL324:AP324)</f>
        <v>478</v>
      </c>
      <c r="AR324" s="22" t="s">
        <v>77</v>
      </c>
      <c r="AU324" s="28" t="s">
        <v>71</v>
      </c>
      <c r="AV324" s="28" t="s">
        <v>71</v>
      </c>
      <c r="AW324" s="28" t="s">
        <v>71</v>
      </c>
      <c r="AX324" s="108" t="s">
        <v>71</v>
      </c>
      <c r="AY324" s="108" t="s">
        <v>71</v>
      </c>
      <c r="AZ324" s="138" t="s">
        <v>71</v>
      </c>
      <c r="BD324" s="143" t="s">
        <v>38</v>
      </c>
      <c r="BE324" s="143" t="s">
        <v>38</v>
      </c>
      <c r="BF324" s="143" t="s">
        <v>38</v>
      </c>
      <c r="BG324" s="143" t="s">
        <v>38</v>
      </c>
      <c r="BH324" s="143" t="s">
        <v>38</v>
      </c>
      <c r="BI324" s="143" t="s">
        <v>38</v>
      </c>
    </row>
    <row r="325" spans="8:61" ht="12">
      <c r="H325" s="60"/>
      <c r="I325" s="60"/>
      <c r="J325" s="60"/>
      <c r="K325" s="60"/>
      <c r="L325" s="60"/>
      <c r="M325" s="60"/>
      <c r="N325" s="60"/>
      <c r="O325" s="60"/>
      <c r="P325" s="61"/>
      <c r="Q325" s="25" t="s">
        <v>80</v>
      </c>
      <c r="S325" s="132">
        <f>T325-X325</f>
        <v>1952</v>
      </c>
      <c r="T325" s="42">
        <v>1273</v>
      </c>
      <c r="U325" s="42">
        <v>-4701</v>
      </c>
      <c r="V325" s="42">
        <v>-727</v>
      </c>
      <c r="W325" s="42">
        <v>-748</v>
      </c>
      <c r="X325" s="42">
        <v>-679</v>
      </c>
      <c r="Y325" s="53">
        <f>AVERAGE(T325:X325)</f>
        <v>-1116.4</v>
      </c>
      <c r="AC325" s="28" t="s">
        <v>68</v>
      </c>
      <c r="AD325" s="28" t="s">
        <v>68</v>
      </c>
      <c r="AE325" s="28" t="s">
        <v>68</v>
      </c>
      <c r="AF325" s="28" t="s">
        <v>68</v>
      </c>
      <c r="AG325" s="28" t="s">
        <v>68</v>
      </c>
      <c r="AH325" s="138" t="s">
        <v>68</v>
      </c>
      <c r="AI325" s="25" t="s">
        <v>80</v>
      </c>
      <c r="AJ325" s="25"/>
      <c r="AK325" s="132">
        <f>AL325-AM325</f>
        <v>2790</v>
      </c>
      <c r="AL325" s="42">
        <f t="shared" si="147"/>
        <v>2118</v>
      </c>
      <c r="AM325" s="42">
        <f t="shared" si="147"/>
        <v>-672</v>
      </c>
      <c r="AN325" s="42">
        <f t="shared" si="147"/>
        <v>0</v>
      </c>
      <c r="AO325" s="42">
        <f t="shared" si="147"/>
        <v>0</v>
      </c>
      <c r="AP325" s="42">
        <f t="shared" si="147"/>
        <v>0</v>
      </c>
      <c r="AQ325" s="53">
        <f>AVERAGE(AL325:AP325)</f>
        <v>289.2</v>
      </c>
      <c r="AU325" s="28" t="s">
        <v>38</v>
      </c>
      <c r="AV325" s="28" t="s">
        <v>38</v>
      </c>
      <c r="AW325" s="28" t="s">
        <v>38</v>
      </c>
      <c r="AX325" s="108" t="s">
        <v>68</v>
      </c>
      <c r="AY325" s="108" t="s">
        <v>68</v>
      </c>
      <c r="AZ325" s="143" t="s">
        <v>38</v>
      </c>
      <c r="BA325" s="133" t="s">
        <v>79</v>
      </c>
      <c r="BC325" s="146">
        <f>BD325-BE325</f>
        <v>77</v>
      </c>
      <c r="BD325" s="147">
        <v>507</v>
      </c>
      <c r="BE325" s="147">
        <v>430</v>
      </c>
      <c r="BF325" s="147">
        <v>205</v>
      </c>
      <c r="BG325" s="147">
        <f aca="true" t="shared" si="148" ref="BG325:BH327">2*AX326</f>
        <v>0</v>
      </c>
      <c r="BH325" s="147">
        <f t="shared" si="148"/>
        <v>0</v>
      </c>
      <c r="BI325" s="53">
        <f>AVERAGE(BD325:BH325)</f>
        <v>228.4</v>
      </c>
    </row>
    <row r="326" spans="8:61" ht="12">
      <c r="H326" s="64" t="s">
        <v>77</v>
      </c>
      <c r="I326" s="60"/>
      <c r="J326" s="60"/>
      <c r="K326" s="62" t="s">
        <v>71</v>
      </c>
      <c r="L326" s="62" t="s">
        <v>71</v>
      </c>
      <c r="M326" s="62" t="s">
        <v>71</v>
      </c>
      <c r="N326" s="62" t="s">
        <v>71</v>
      </c>
      <c r="O326" s="62" t="s">
        <v>71</v>
      </c>
      <c r="P326" s="63" t="s">
        <v>71</v>
      </c>
      <c r="Q326" s="25" t="s">
        <v>75</v>
      </c>
      <c r="S326" s="132">
        <f>T326-X326</f>
        <v>-2638</v>
      </c>
      <c r="T326" s="42">
        <v>-4013</v>
      </c>
      <c r="U326" s="42">
        <v>-58</v>
      </c>
      <c r="V326" s="42">
        <v>-837</v>
      </c>
      <c r="W326" s="42">
        <v>-819</v>
      </c>
      <c r="X326" s="42">
        <v>-1375</v>
      </c>
      <c r="Y326" s="53">
        <f>AVERAGE(T326:X326)</f>
        <v>-1420.4</v>
      </c>
      <c r="Z326" s="25" t="s">
        <v>79</v>
      </c>
      <c r="AB326" s="132">
        <f>AC326-AD326</f>
        <v>-101</v>
      </c>
      <c r="AC326" s="42">
        <v>547</v>
      </c>
      <c r="AD326" s="42">
        <v>648</v>
      </c>
      <c r="AE326" s="42"/>
      <c r="AF326" s="42"/>
      <c r="AG326" s="42"/>
      <c r="AH326" s="53">
        <f>AVERAGE(AC326:AG326)</f>
        <v>597.5</v>
      </c>
      <c r="AI326" s="25" t="s">
        <v>75</v>
      </c>
      <c r="AJ326" s="25"/>
      <c r="AK326" s="132">
        <f>AL326-AM326</f>
        <v>-1528</v>
      </c>
      <c r="AL326" s="42">
        <f t="shared" si="147"/>
        <v>-2064</v>
      </c>
      <c r="AM326" s="42">
        <f t="shared" si="147"/>
        <v>-536</v>
      </c>
      <c r="AN326" s="42">
        <f t="shared" si="147"/>
        <v>0</v>
      </c>
      <c r="AO326" s="42">
        <f t="shared" si="147"/>
        <v>0</v>
      </c>
      <c r="AP326" s="42">
        <f t="shared" si="147"/>
        <v>0</v>
      </c>
      <c r="AQ326" s="53">
        <f>AVERAGE(AL326:AP326)</f>
        <v>-520</v>
      </c>
      <c r="AR326" s="25" t="s">
        <v>79</v>
      </c>
      <c r="AT326" s="132">
        <f>AU326-AW326</f>
        <v>302</v>
      </c>
      <c r="AU326" s="42">
        <v>507</v>
      </c>
      <c r="AV326" s="42">
        <v>430</v>
      </c>
      <c r="AW326" s="42">
        <v>205</v>
      </c>
      <c r="AX326" s="109"/>
      <c r="AY326" s="109"/>
      <c r="AZ326" s="53">
        <f>AVERAGE(AU326:AY326)</f>
        <v>380.6666666666667</v>
      </c>
      <c r="BA326" s="133" t="s">
        <v>80</v>
      </c>
      <c r="BC326" s="146">
        <f>BD326-BE326</f>
        <v>-315</v>
      </c>
      <c r="BD326" s="147">
        <v>-284</v>
      </c>
      <c r="BE326" s="147">
        <v>31</v>
      </c>
      <c r="BF326" s="147">
        <v>-107</v>
      </c>
      <c r="BG326" s="147">
        <f t="shared" si="148"/>
        <v>0</v>
      </c>
      <c r="BH326" s="147">
        <f t="shared" si="148"/>
        <v>0</v>
      </c>
      <c r="BI326" s="53">
        <f>AVERAGE(BD326:BH326)</f>
        <v>-72</v>
      </c>
    </row>
    <row r="327" spans="8:61" ht="12">
      <c r="H327" s="60"/>
      <c r="I327" s="60"/>
      <c r="J327" s="60"/>
      <c r="K327" s="62" t="s">
        <v>68</v>
      </c>
      <c r="L327" s="62" t="s">
        <v>68</v>
      </c>
      <c r="M327" s="62" t="s">
        <v>68</v>
      </c>
      <c r="N327" s="62" t="s">
        <v>68</v>
      </c>
      <c r="O327" s="62" t="s">
        <v>68</v>
      </c>
      <c r="P327" s="63" t="s">
        <v>68</v>
      </c>
      <c r="Q327" s="25" t="s">
        <v>64</v>
      </c>
      <c r="S327" s="132">
        <f>T327-X327</f>
        <v>495</v>
      </c>
      <c r="T327" s="42">
        <v>1211</v>
      </c>
      <c r="U327" s="42">
        <v>248</v>
      </c>
      <c r="V327" s="42">
        <v>868</v>
      </c>
      <c r="W327" s="42">
        <v>925</v>
      </c>
      <c r="X327" s="42">
        <v>716</v>
      </c>
      <c r="Y327" s="53">
        <f>AVERAGE(T327:X327)</f>
        <v>793.6</v>
      </c>
      <c r="Z327" s="25" t="s">
        <v>80</v>
      </c>
      <c r="AB327" s="132">
        <f>AC327-AD327</f>
        <v>1395</v>
      </c>
      <c r="AC327" s="42">
        <v>1059</v>
      </c>
      <c r="AD327" s="42">
        <v>-336</v>
      </c>
      <c r="AE327" s="42"/>
      <c r="AF327" s="42"/>
      <c r="AG327" s="42"/>
      <c r="AH327" s="53">
        <f>AVERAGE(AC327:AG327)</f>
        <v>361.5</v>
      </c>
      <c r="AI327" s="25" t="s">
        <v>64</v>
      </c>
      <c r="AJ327" s="25"/>
      <c r="AK327" s="132">
        <f>AL327-AM327</f>
        <v>1134</v>
      </c>
      <c r="AL327" s="42">
        <f>2*AC330</f>
        <v>1696</v>
      </c>
      <c r="AM327" s="42">
        <f>2*AD330</f>
        <v>562</v>
      </c>
      <c r="AN327" s="42">
        <f>2*AE330</f>
        <v>0</v>
      </c>
      <c r="AO327" s="42">
        <f>2*AF330</f>
        <v>0</v>
      </c>
      <c r="AP327" s="42">
        <f>2*AG330</f>
        <v>0</v>
      </c>
      <c r="AQ327" s="53">
        <f>AVERAGE(AL327:AP327)</f>
        <v>451.6</v>
      </c>
      <c r="AR327" s="25" t="s">
        <v>80</v>
      </c>
      <c r="AT327" s="132">
        <f>AU327-AW327</f>
        <v>-177</v>
      </c>
      <c r="AU327" s="42">
        <v>-284</v>
      </c>
      <c r="AV327" s="42">
        <v>31</v>
      </c>
      <c r="AW327" s="42">
        <v>-107</v>
      </c>
      <c r="AX327" s="109"/>
      <c r="AY327" s="109"/>
      <c r="AZ327" s="53">
        <f>AVERAGE(AU327:AY327)</f>
        <v>-120</v>
      </c>
      <c r="BA327" s="133" t="s">
        <v>75</v>
      </c>
      <c r="BC327" s="146">
        <f>BD327-BE327</f>
        <v>103</v>
      </c>
      <c r="BD327" s="147">
        <v>-184</v>
      </c>
      <c r="BE327" s="147">
        <v>-287</v>
      </c>
      <c r="BF327" s="147">
        <v>-127</v>
      </c>
      <c r="BG327" s="147">
        <f t="shared" si="148"/>
        <v>0</v>
      </c>
      <c r="BH327" s="147">
        <f t="shared" si="148"/>
        <v>0</v>
      </c>
      <c r="BI327" s="53">
        <f>AVERAGE(BD327:BH327)</f>
        <v>-119.6</v>
      </c>
    </row>
    <row r="328" spans="8:61" ht="12">
      <c r="H328" s="60" t="s">
        <v>79</v>
      </c>
      <c r="I328" s="60"/>
      <c r="J328" s="68"/>
      <c r="K328" s="65">
        <v>230</v>
      </c>
      <c r="L328" s="65"/>
      <c r="M328" s="65"/>
      <c r="N328" s="65"/>
      <c r="O328" s="65"/>
      <c r="P328" s="66">
        <f>AVERAGE(K328:O328)</f>
        <v>230</v>
      </c>
      <c r="Z328" s="25" t="s">
        <v>75</v>
      </c>
      <c r="AB328" s="132">
        <f>AC328-AD328</f>
        <v>-764</v>
      </c>
      <c r="AC328" s="42">
        <v>-1032</v>
      </c>
      <c r="AD328" s="42">
        <v>-268</v>
      </c>
      <c r="AE328" s="42"/>
      <c r="AF328" s="42"/>
      <c r="AG328" s="42"/>
      <c r="AH328" s="53">
        <f>AVERAGE(AC328:AG328)</f>
        <v>-650</v>
      </c>
      <c r="AI328" s="25"/>
      <c r="AJ328" s="25"/>
      <c r="AK328" s="25"/>
      <c r="AL328" s="25"/>
      <c r="AM328" s="25"/>
      <c r="AN328" s="25"/>
      <c r="AO328" s="25"/>
      <c r="AP328" s="25"/>
      <c r="AQ328" s="137"/>
      <c r="AR328" s="25" t="s">
        <v>75</v>
      </c>
      <c r="AT328" s="132">
        <f>AU328-AW328</f>
        <v>-57</v>
      </c>
      <c r="AU328" s="42">
        <v>-184</v>
      </c>
      <c r="AV328" s="42">
        <v>-287</v>
      </c>
      <c r="AW328" s="42">
        <v>-127</v>
      </c>
      <c r="AX328" s="109"/>
      <c r="AY328" s="109"/>
      <c r="AZ328" s="53">
        <f>AVERAGE(AU328:AY328)</f>
        <v>-199.33333333333334</v>
      </c>
      <c r="BA328" s="133" t="s">
        <v>64</v>
      </c>
      <c r="BC328" s="146">
        <f>BD328-BE328</f>
        <v>74</v>
      </c>
      <c r="BD328" s="147">
        <v>790</v>
      </c>
      <c r="BE328" s="147">
        <v>716</v>
      </c>
      <c r="BF328" s="147">
        <v>547</v>
      </c>
      <c r="BG328" s="147">
        <f>2*AX330</f>
        <v>0</v>
      </c>
      <c r="BH328" s="147">
        <f>2*AY330</f>
        <v>0</v>
      </c>
      <c r="BI328" s="53">
        <f>AVERAGE(BD328:BH328)</f>
        <v>410.6</v>
      </c>
    </row>
    <row r="329" spans="8:52" ht="12">
      <c r="H329" s="60" t="s">
        <v>80</v>
      </c>
      <c r="I329" s="60"/>
      <c r="J329" s="68"/>
      <c r="K329" s="65">
        <v>-297</v>
      </c>
      <c r="L329" s="65"/>
      <c r="M329" s="65"/>
      <c r="N329" s="65"/>
      <c r="O329" s="65"/>
      <c r="P329" s="66">
        <f>AVERAGE(K329:O329)</f>
        <v>-297</v>
      </c>
      <c r="Q329" s="139" t="s">
        <v>282</v>
      </c>
      <c r="R329" s="133"/>
      <c r="S329" s="133"/>
      <c r="T329" s="28" t="s">
        <v>71</v>
      </c>
      <c r="U329" s="28" t="s">
        <v>71</v>
      </c>
      <c r="V329" s="28" t="s">
        <v>71</v>
      </c>
      <c r="W329" s="28" t="s">
        <v>71</v>
      </c>
      <c r="X329" s="28" t="s">
        <v>71</v>
      </c>
      <c r="Y329" s="138" t="s">
        <v>71</v>
      </c>
      <c r="Z329" s="25" t="s">
        <v>63</v>
      </c>
      <c r="AB329" s="132">
        <f>AC329-AD329</f>
        <v>48</v>
      </c>
      <c r="AC329" s="42">
        <v>281</v>
      </c>
      <c r="AD329" s="42">
        <v>233</v>
      </c>
      <c r="AE329" s="42"/>
      <c r="AF329" s="42"/>
      <c r="AG329" s="42"/>
      <c r="AH329" s="53">
        <f>AVERAGE(AC329:AG329)</f>
        <v>257</v>
      </c>
      <c r="AI329" s="139" t="s">
        <v>282</v>
      </c>
      <c r="AL329" s="28" t="s">
        <v>71</v>
      </c>
      <c r="AM329" s="28" t="s">
        <v>71</v>
      </c>
      <c r="AN329" s="28" t="s">
        <v>71</v>
      </c>
      <c r="AO329" s="28" t="s">
        <v>71</v>
      </c>
      <c r="AP329" s="28" t="s">
        <v>71</v>
      </c>
      <c r="AQ329" s="138" t="s">
        <v>71</v>
      </c>
      <c r="AR329" s="25" t="s">
        <v>63</v>
      </c>
      <c r="AT329" s="132">
        <f>AU329-AW329</f>
        <v>152</v>
      </c>
      <c r="AU329" s="42">
        <v>716</v>
      </c>
      <c r="AV329" s="42">
        <v>547</v>
      </c>
      <c r="AW329" s="42">
        <v>564</v>
      </c>
      <c r="AX329" s="109"/>
      <c r="AY329" s="109"/>
      <c r="AZ329" s="53">
        <f>AVERAGE(AU329:AY329)</f>
        <v>609</v>
      </c>
    </row>
    <row r="330" spans="8:61" ht="12">
      <c r="H330" s="60" t="s">
        <v>75</v>
      </c>
      <c r="I330" s="60"/>
      <c r="J330" s="68"/>
      <c r="K330" s="65">
        <v>177</v>
      </c>
      <c r="L330" s="65"/>
      <c r="M330" s="65"/>
      <c r="N330" s="65"/>
      <c r="O330" s="65"/>
      <c r="P330" s="66">
        <f>AVERAGE(K330:O330)</f>
        <v>177</v>
      </c>
      <c r="Q330" s="133"/>
      <c r="R330" s="133"/>
      <c r="S330" s="133"/>
      <c r="T330" s="28" t="s">
        <v>38</v>
      </c>
      <c r="U330" s="28" t="s">
        <v>38</v>
      </c>
      <c r="V330" s="28" t="s">
        <v>38</v>
      </c>
      <c r="W330" s="28" t="s">
        <v>38</v>
      </c>
      <c r="X330" s="28" t="s">
        <v>38</v>
      </c>
      <c r="Y330" s="143" t="s">
        <v>38</v>
      </c>
      <c r="Z330" s="25" t="s">
        <v>64</v>
      </c>
      <c r="AB330" s="132">
        <f>AC330-AD330</f>
        <v>567</v>
      </c>
      <c r="AC330" s="42">
        <v>848</v>
      </c>
      <c r="AD330" s="42">
        <v>281</v>
      </c>
      <c r="AE330" s="42"/>
      <c r="AF330" s="42"/>
      <c r="AG330" s="42"/>
      <c r="AH330" s="53">
        <f>AVERAGE(AC330:AG330)</f>
        <v>564.5</v>
      </c>
      <c r="AL330" s="28" t="s">
        <v>38</v>
      </c>
      <c r="AM330" s="28" t="s">
        <v>38</v>
      </c>
      <c r="AN330" s="28" t="s">
        <v>38</v>
      </c>
      <c r="AO330" s="28" t="s">
        <v>38</v>
      </c>
      <c r="AP330" s="28" t="s">
        <v>38</v>
      </c>
      <c r="AQ330" s="143" t="s">
        <v>38</v>
      </c>
      <c r="AR330" s="25" t="s">
        <v>64</v>
      </c>
      <c r="AT330" s="132">
        <f>AU330-AW330</f>
        <v>243</v>
      </c>
      <c r="AU330" s="42">
        <v>790</v>
      </c>
      <c r="AV330" s="42">
        <v>716</v>
      </c>
      <c r="AW330" s="42">
        <v>547</v>
      </c>
      <c r="AX330" s="109"/>
      <c r="AY330" s="109"/>
      <c r="AZ330" s="53">
        <f>AVERAGE(AU330:AY330)</f>
        <v>684.3333333333334</v>
      </c>
      <c r="BA330" s="139" t="s">
        <v>282</v>
      </c>
      <c r="BD330" s="28" t="s">
        <v>71</v>
      </c>
      <c r="BE330" s="28" t="s">
        <v>71</v>
      </c>
      <c r="BF330" s="28" t="s">
        <v>71</v>
      </c>
      <c r="BG330" s="28" t="s">
        <v>71</v>
      </c>
      <c r="BH330" s="28" t="s">
        <v>71</v>
      </c>
      <c r="BI330" s="138" t="s">
        <v>71</v>
      </c>
    </row>
    <row r="331" spans="8:61" ht="12">
      <c r="H331" s="60" t="s">
        <v>63</v>
      </c>
      <c r="I331" s="60"/>
      <c r="J331" s="68"/>
      <c r="K331" s="65">
        <v>20</v>
      </c>
      <c r="L331" s="65"/>
      <c r="M331" s="65"/>
      <c r="N331" s="65"/>
      <c r="O331" s="65"/>
      <c r="P331" s="66">
        <f>AVERAGE(K331:O331)</f>
        <v>20</v>
      </c>
      <c r="Q331" s="25" t="s">
        <v>283</v>
      </c>
      <c r="R331" s="22"/>
      <c r="S331" s="132">
        <f>T331-X331</f>
        <v>9215</v>
      </c>
      <c r="T331" s="42">
        <v>9520</v>
      </c>
      <c r="U331" s="42">
        <v>260</v>
      </c>
      <c r="V331" s="42">
        <v>262</v>
      </c>
      <c r="W331" s="42">
        <v>262</v>
      </c>
      <c r="X331" s="42">
        <v>305</v>
      </c>
      <c r="Y331" s="53">
        <f>AVERAGE(T331:X331)</f>
        <v>2121.8</v>
      </c>
      <c r="AH331" s="137"/>
      <c r="AI331" s="25" t="s">
        <v>283</v>
      </c>
      <c r="AJ331" s="22"/>
      <c r="AK331" s="132">
        <f>AL331-AP331</f>
        <v>-1838</v>
      </c>
      <c r="AL331" s="25">
        <v>7206</v>
      </c>
      <c r="AM331" s="25">
        <v>8776</v>
      </c>
      <c r="AN331" s="25">
        <v>8446</v>
      </c>
      <c r="AO331" s="25">
        <v>8872</v>
      </c>
      <c r="AP331" s="25">
        <v>9044</v>
      </c>
      <c r="AQ331" s="53">
        <f>AVERAGE(AL331:AP331)</f>
        <v>8468.8</v>
      </c>
      <c r="AX331" s="107"/>
      <c r="AY331" s="107"/>
      <c r="AZ331" s="137"/>
      <c r="BD331" s="28" t="s">
        <v>38</v>
      </c>
      <c r="BE331" s="28" t="s">
        <v>38</v>
      </c>
      <c r="BF331" s="28" t="s">
        <v>38</v>
      </c>
      <c r="BG331" s="28" t="s">
        <v>38</v>
      </c>
      <c r="BH331" s="28" t="s">
        <v>38</v>
      </c>
      <c r="BI331" s="143" t="s">
        <v>38</v>
      </c>
    </row>
    <row r="332" spans="8:61" ht="12">
      <c r="H332" s="60" t="s">
        <v>64</v>
      </c>
      <c r="I332" s="60"/>
      <c r="J332" s="68"/>
      <c r="K332" s="65">
        <v>130</v>
      </c>
      <c r="L332" s="65"/>
      <c r="M332" s="65"/>
      <c r="N332" s="65"/>
      <c r="O332" s="65"/>
      <c r="P332" s="66">
        <f>AVERAGE(K332:O332)</f>
        <v>130</v>
      </c>
      <c r="Q332" s="133" t="s">
        <v>284</v>
      </c>
      <c r="R332" s="133"/>
      <c r="S332" s="132">
        <f>T332-X332</f>
        <v>5528</v>
      </c>
      <c r="T332" s="42">
        <v>12034</v>
      </c>
      <c r="U332" s="42">
        <v>6018</v>
      </c>
      <c r="V332" s="42">
        <v>6174</v>
      </c>
      <c r="W332" s="42">
        <v>6379</v>
      </c>
      <c r="X332" s="42">
        <v>6506</v>
      </c>
      <c r="Y332" s="53">
        <f>AVERAGE(T332:X332)</f>
        <v>7422.2</v>
      </c>
      <c r="AC332" s="28" t="s">
        <v>71</v>
      </c>
      <c r="AD332" s="28" t="s">
        <v>71</v>
      </c>
      <c r="AE332" s="28" t="s">
        <v>71</v>
      </c>
      <c r="AF332" s="28" t="s">
        <v>71</v>
      </c>
      <c r="AG332" s="28" t="s">
        <v>71</v>
      </c>
      <c r="AH332" s="138" t="s">
        <v>71</v>
      </c>
      <c r="AI332" s="133" t="s">
        <v>284</v>
      </c>
      <c r="AK332" s="132">
        <f>AL332-AP332</f>
        <v>-3226</v>
      </c>
      <c r="AL332" s="133">
        <v>1512</v>
      </c>
      <c r="AM332" s="133">
        <v>3314</v>
      </c>
      <c r="AN332" s="133">
        <v>3610</v>
      </c>
      <c r="AO332" s="133">
        <v>3468</v>
      </c>
      <c r="AP332" s="133">
        <v>4738</v>
      </c>
      <c r="AQ332" s="53">
        <f>AVERAGE(AL332:AP332)</f>
        <v>3328.4</v>
      </c>
      <c r="AU332" s="28" t="s">
        <v>71</v>
      </c>
      <c r="AV332" s="28" t="s">
        <v>71</v>
      </c>
      <c r="AW332" s="28" t="s">
        <v>71</v>
      </c>
      <c r="AX332" s="108" t="s">
        <v>71</v>
      </c>
      <c r="AY332" s="108" t="s">
        <v>71</v>
      </c>
      <c r="AZ332" s="138" t="s">
        <v>71</v>
      </c>
      <c r="BA332" s="25" t="s">
        <v>283</v>
      </c>
      <c r="BB332" s="22"/>
      <c r="BC332" s="132">
        <f>BD332-BH332</f>
        <v>119</v>
      </c>
      <c r="BD332" s="42">
        <f>5007+196</f>
        <v>5203</v>
      </c>
      <c r="BE332" s="42">
        <f>4214+99</f>
        <v>4313</v>
      </c>
      <c r="BF332" s="42">
        <f>4317+130</f>
        <v>4447</v>
      </c>
      <c r="BG332" s="42">
        <v>4824</v>
      </c>
      <c r="BH332" s="42">
        <v>5084</v>
      </c>
      <c r="BI332" s="53">
        <f>AVERAGE(BD332:BH332)</f>
        <v>4774.2</v>
      </c>
    </row>
    <row r="333" spans="8:61" ht="12">
      <c r="H333" s="60"/>
      <c r="I333" s="60"/>
      <c r="J333" s="60"/>
      <c r="K333" s="60"/>
      <c r="L333" s="60"/>
      <c r="M333" s="60"/>
      <c r="N333" s="60"/>
      <c r="O333" s="60"/>
      <c r="P333" s="61"/>
      <c r="R333" s="22"/>
      <c r="S333" s="132"/>
      <c r="T333" s="42"/>
      <c r="U333" s="42"/>
      <c r="V333" s="42"/>
      <c r="W333" s="42"/>
      <c r="X333" s="42"/>
      <c r="Y333" s="53"/>
      <c r="Z333" s="22"/>
      <c r="AA333" s="22"/>
      <c r="AB333" s="22"/>
      <c r="AC333" s="28" t="s">
        <v>68</v>
      </c>
      <c r="AD333" s="28" t="s">
        <v>68</v>
      </c>
      <c r="AE333" s="28" t="s">
        <v>68</v>
      </c>
      <c r="AF333" s="28" t="s">
        <v>68</v>
      </c>
      <c r="AG333" s="28" t="s">
        <v>68</v>
      </c>
      <c r="AH333" s="138" t="s">
        <v>68</v>
      </c>
      <c r="AI333" s="25"/>
      <c r="AJ333" s="22"/>
      <c r="AK333" s="132"/>
      <c r="AL333" s="25"/>
      <c r="AM333" s="25"/>
      <c r="AN333" s="25"/>
      <c r="AO333" s="25"/>
      <c r="AP333" s="25"/>
      <c r="AQ333" s="53"/>
      <c r="AR333" s="22"/>
      <c r="AS333" s="22"/>
      <c r="AT333" s="22"/>
      <c r="AU333" s="28" t="s">
        <v>38</v>
      </c>
      <c r="AV333" s="28" t="s">
        <v>38</v>
      </c>
      <c r="AW333" s="28" t="s">
        <v>38</v>
      </c>
      <c r="AX333" s="108" t="s">
        <v>68</v>
      </c>
      <c r="AY333" s="108" t="s">
        <v>68</v>
      </c>
      <c r="AZ333" s="143" t="s">
        <v>38</v>
      </c>
      <c r="BA333" s="133" t="s">
        <v>284</v>
      </c>
      <c r="BC333" s="132">
        <f>BD333-BH333</f>
        <v>-228</v>
      </c>
      <c r="BD333" s="42">
        <v>166</v>
      </c>
      <c r="BE333" s="42">
        <v>180</v>
      </c>
      <c r="BF333" s="42">
        <v>227</v>
      </c>
      <c r="BG333" s="42">
        <v>342</v>
      </c>
      <c r="BH333" s="42">
        <v>394</v>
      </c>
      <c r="BI333" s="53">
        <f>AVERAGE(BD333:BH333)</f>
        <v>261.8</v>
      </c>
    </row>
    <row r="334" spans="8:61" ht="12">
      <c r="H334" s="60"/>
      <c r="I334" s="60"/>
      <c r="J334" s="60"/>
      <c r="K334" s="62" t="s">
        <v>71</v>
      </c>
      <c r="L334" s="62" t="s">
        <v>71</v>
      </c>
      <c r="M334" s="62" t="s">
        <v>71</v>
      </c>
      <c r="N334" s="62" t="s">
        <v>71</v>
      </c>
      <c r="O334" s="62" t="s">
        <v>71</v>
      </c>
      <c r="P334" s="63" t="s">
        <v>71</v>
      </c>
      <c r="Z334" s="22" t="s">
        <v>102</v>
      </c>
      <c r="AB334" s="132">
        <f>AC334-AG334</f>
        <v>-21</v>
      </c>
      <c r="AC334" s="42">
        <f>AC306-AC307</f>
        <v>5293</v>
      </c>
      <c r="AD334" s="42">
        <f>AD306-AD307</f>
        <v>5646</v>
      </c>
      <c r="AE334" s="42">
        <f>AE306-AE307</f>
        <v>5586</v>
      </c>
      <c r="AF334" s="42">
        <f>AF306-AF307</f>
        <v>5521</v>
      </c>
      <c r="AG334" s="42">
        <f>AG306-AG307</f>
        <v>5314</v>
      </c>
      <c r="AH334" s="53">
        <f>AVERAGE(AC334:AG334)</f>
        <v>5472</v>
      </c>
      <c r="AR334" s="22" t="s">
        <v>102</v>
      </c>
      <c r="AT334" s="132">
        <f>AU334-AY334</f>
        <v>2711</v>
      </c>
      <c r="AU334" s="42">
        <f>AU306-AU307</f>
        <v>5710</v>
      </c>
      <c r="AV334" s="42">
        <f>AV306-AV307</f>
        <v>5011</v>
      </c>
      <c r="AW334" s="42">
        <f>AW306-AW307</f>
        <v>5093</v>
      </c>
      <c r="AX334" s="109">
        <f>AX306-AX307</f>
        <v>2901</v>
      </c>
      <c r="AY334" s="109">
        <f>AY306-AY307</f>
        <v>2999</v>
      </c>
      <c r="AZ334" s="53">
        <f>AVERAGE(AU334:AY334)</f>
        <v>4342.8</v>
      </c>
      <c r="BA334" s="25"/>
      <c r="BB334" s="22"/>
      <c r="BC334" s="132"/>
      <c r="BD334" s="42"/>
      <c r="BE334" s="42"/>
      <c r="BF334" s="42"/>
      <c r="BG334" s="42"/>
      <c r="BH334" s="42"/>
      <c r="BI334" s="53"/>
    </row>
    <row r="335" spans="8:52" ht="12">
      <c r="H335" s="64"/>
      <c r="I335" s="64"/>
      <c r="J335" s="64"/>
      <c r="K335" s="62" t="s">
        <v>68</v>
      </c>
      <c r="L335" s="62" t="s">
        <v>68</v>
      </c>
      <c r="M335" s="62" t="s">
        <v>68</v>
      </c>
      <c r="N335" s="62" t="s">
        <v>68</v>
      </c>
      <c r="O335" s="62" t="s">
        <v>68</v>
      </c>
      <c r="P335" s="63" t="s">
        <v>68</v>
      </c>
      <c r="Z335" s="22" t="s">
        <v>104</v>
      </c>
      <c r="AB335" s="132">
        <f>AC335-AG335</f>
        <v>-329</v>
      </c>
      <c r="AC335" s="42">
        <f>AC311-AC334</f>
        <v>4974</v>
      </c>
      <c r="AD335" s="42">
        <f>AD311-AD334</f>
        <v>4427</v>
      </c>
      <c r="AE335" s="42">
        <f>AE311-AE334</f>
        <v>6186</v>
      </c>
      <c r="AF335" s="42">
        <f>AF311-AF334</f>
        <v>5765</v>
      </c>
      <c r="AG335" s="42">
        <f>AG311-AG334</f>
        <v>5303</v>
      </c>
      <c r="AH335" s="53">
        <f>AVERAGE(AC335:AG335)</f>
        <v>5331</v>
      </c>
      <c r="AR335" s="22" t="s">
        <v>104</v>
      </c>
      <c r="AT335" s="132">
        <f>AU335-AY335</f>
        <v>-1641</v>
      </c>
      <c r="AU335" s="42">
        <f>AU311-AU334</f>
        <v>-3295</v>
      </c>
      <c r="AV335" s="42">
        <f>AV311-AV334</f>
        <v>-2838</v>
      </c>
      <c r="AW335" s="42">
        <f>AW311-AW334</f>
        <v>-2968</v>
      </c>
      <c r="AX335" s="109">
        <f>AX311-AX334</f>
        <v>-1743</v>
      </c>
      <c r="AY335" s="109">
        <f>AY311-AY334</f>
        <v>-1654</v>
      </c>
      <c r="AZ335" s="53">
        <f>AVERAGE(AU335:AY335)</f>
        <v>-2499.6</v>
      </c>
    </row>
    <row r="336" spans="8:52" ht="12">
      <c r="H336" s="64" t="s">
        <v>102</v>
      </c>
      <c r="I336" s="60"/>
      <c r="J336" s="60"/>
      <c r="K336" s="65">
        <f>K308-K309</f>
        <v>3322</v>
      </c>
      <c r="L336" s="65">
        <f>L308-L309</f>
        <v>0</v>
      </c>
      <c r="M336" s="65">
        <f>M308-M309</f>
        <v>0</v>
      </c>
      <c r="N336" s="65">
        <f>N308-N309</f>
        <v>0</v>
      </c>
      <c r="O336" s="65">
        <f>O308-O309</f>
        <v>0</v>
      </c>
      <c r="P336" s="66">
        <f>AVERAGE(K336:O336)</f>
        <v>664.4</v>
      </c>
      <c r="T336" s="28" t="s">
        <v>71</v>
      </c>
      <c r="U336" s="28" t="s">
        <v>71</v>
      </c>
      <c r="V336" s="28" t="s">
        <v>71</v>
      </c>
      <c r="W336" s="28" t="s">
        <v>71</v>
      </c>
      <c r="X336" s="28" t="s">
        <v>71</v>
      </c>
      <c r="Y336" s="138" t="s">
        <v>71</v>
      </c>
      <c r="Z336" s="22"/>
      <c r="AC336" s="33"/>
      <c r="AD336" s="33"/>
      <c r="AE336" s="33"/>
      <c r="AF336" s="33"/>
      <c r="AG336" s="33"/>
      <c r="AH336" s="140"/>
      <c r="AI336" s="25"/>
      <c r="AJ336" s="25"/>
      <c r="AK336" s="25"/>
      <c r="AL336" s="28" t="s">
        <v>71</v>
      </c>
      <c r="AM336" s="28" t="s">
        <v>71</v>
      </c>
      <c r="AN336" s="28" t="s">
        <v>71</v>
      </c>
      <c r="AO336" s="28" t="s">
        <v>71</v>
      </c>
      <c r="AP336" s="28" t="s">
        <v>71</v>
      </c>
      <c r="AQ336" s="138" t="s">
        <v>71</v>
      </c>
      <c r="AR336" s="22"/>
      <c r="AU336" s="33"/>
      <c r="AV336" s="33"/>
      <c r="AW336" s="33"/>
      <c r="AX336" s="111"/>
      <c r="AY336" s="111"/>
      <c r="AZ336" s="140"/>
    </row>
    <row r="337" spans="8:61" ht="12">
      <c r="H337" s="64" t="s">
        <v>103</v>
      </c>
      <c r="I337" s="60"/>
      <c r="J337" s="60"/>
      <c r="K337" s="65">
        <f>K313-K314</f>
        <v>1862</v>
      </c>
      <c r="L337" s="65">
        <f>L313-L314</f>
        <v>0</v>
      </c>
      <c r="M337" s="65">
        <f>M313-M314</f>
        <v>0</v>
      </c>
      <c r="N337" s="65">
        <f>N313-N314</f>
        <v>0</v>
      </c>
      <c r="O337" s="65">
        <f>O313-O314</f>
        <v>0</v>
      </c>
      <c r="P337" s="66">
        <f>AVERAGE(K337:O337)</f>
        <v>372.4</v>
      </c>
      <c r="Q337" s="22"/>
      <c r="R337" s="22"/>
      <c r="S337" s="22"/>
      <c r="T337" s="28" t="s">
        <v>38</v>
      </c>
      <c r="U337" s="28" t="s">
        <v>38</v>
      </c>
      <c r="V337" s="28" t="s">
        <v>38</v>
      </c>
      <c r="W337" s="28" t="s">
        <v>38</v>
      </c>
      <c r="X337" s="28" t="s">
        <v>38</v>
      </c>
      <c r="Y337" s="143" t="s">
        <v>38</v>
      </c>
      <c r="Z337" s="22"/>
      <c r="AC337" s="48" t="s">
        <v>105</v>
      </c>
      <c r="AD337" s="48" t="s">
        <v>105</v>
      </c>
      <c r="AE337" s="48" t="s">
        <v>105</v>
      </c>
      <c r="AF337" s="48" t="s">
        <v>105</v>
      </c>
      <c r="AG337" s="48" t="s">
        <v>105</v>
      </c>
      <c r="AH337" s="141" t="s">
        <v>105</v>
      </c>
      <c r="AI337" s="22"/>
      <c r="AJ337" s="22"/>
      <c r="AK337" s="22"/>
      <c r="AL337" s="28" t="s">
        <v>38</v>
      </c>
      <c r="AM337" s="28" t="s">
        <v>38</v>
      </c>
      <c r="AN337" s="28" t="s">
        <v>38</v>
      </c>
      <c r="AO337" s="28" t="s">
        <v>38</v>
      </c>
      <c r="AP337" s="28" t="s">
        <v>38</v>
      </c>
      <c r="AQ337" s="143" t="s">
        <v>38</v>
      </c>
      <c r="AR337" s="22"/>
      <c r="AU337" s="48" t="s">
        <v>105</v>
      </c>
      <c r="AV337" s="48" t="s">
        <v>105</v>
      </c>
      <c r="AW337" s="48" t="s">
        <v>105</v>
      </c>
      <c r="AX337" s="112" t="s">
        <v>105</v>
      </c>
      <c r="AY337" s="112" t="s">
        <v>105</v>
      </c>
      <c r="AZ337" s="141" t="s">
        <v>105</v>
      </c>
      <c r="BD337" s="143" t="s">
        <v>71</v>
      </c>
      <c r="BE337" s="143" t="s">
        <v>71</v>
      </c>
      <c r="BF337" s="143" t="s">
        <v>71</v>
      </c>
      <c r="BG337" s="143" t="s">
        <v>71</v>
      </c>
      <c r="BH337" s="143" t="s">
        <v>71</v>
      </c>
      <c r="BI337" s="138" t="s">
        <v>71</v>
      </c>
    </row>
    <row r="338" spans="8:61" ht="12">
      <c r="H338" s="64" t="s">
        <v>104</v>
      </c>
      <c r="I338" s="60"/>
      <c r="J338" s="60"/>
      <c r="K338" s="65">
        <f>K313-K336</f>
        <v>2226</v>
      </c>
      <c r="L338" s="65">
        <f>L313-L336</f>
        <v>0</v>
      </c>
      <c r="M338" s="65">
        <f>M313-M336</f>
        <v>0</v>
      </c>
      <c r="N338" s="65">
        <f>N313-N336</f>
        <v>0</v>
      </c>
      <c r="O338" s="65">
        <f>O313-O336</f>
        <v>0</v>
      </c>
      <c r="P338" s="66">
        <f>AVERAGE(K338:O338)</f>
        <v>445.2</v>
      </c>
      <c r="Q338" s="22" t="s">
        <v>102</v>
      </c>
      <c r="S338" s="132">
        <f>T338-X338</f>
        <v>12351</v>
      </c>
      <c r="T338" s="42">
        <f>T306-T307</f>
        <v>23191</v>
      </c>
      <c r="U338" s="42">
        <f>U306-U307</f>
        <v>25578</v>
      </c>
      <c r="V338" s="42">
        <f>V306-V307</f>
        <v>10584</v>
      </c>
      <c r="W338" s="42">
        <f>W306-W307</f>
        <v>10667</v>
      </c>
      <c r="X338" s="42">
        <f>X306-X307</f>
        <v>10840</v>
      </c>
      <c r="Y338" s="53">
        <f>AVERAGE(T338:X338)</f>
        <v>16172</v>
      </c>
      <c r="Z338" s="22" t="s">
        <v>53</v>
      </c>
      <c r="AB338" s="44">
        <f aca="true" t="shared" si="149" ref="AB338:AB344">AC338-AG338</f>
        <v>-25.56013612826564</v>
      </c>
      <c r="AC338" s="51">
        <f>(AC308/AC334)*100</f>
        <v>93.97317211411298</v>
      </c>
      <c r="AD338" s="51">
        <f>(AD308/AD334)*100</f>
        <v>111.91994332270635</v>
      </c>
      <c r="AE338" s="51">
        <f>(AE308/AE334)*100</f>
        <v>106.98174006444683</v>
      </c>
      <c r="AF338" s="51">
        <f>(AF308/AF334)*100</f>
        <v>109.30990762543018</v>
      </c>
      <c r="AG338" s="51">
        <f>(AG308/AG334)*100</f>
        <v>119.53330824237862</v>
      </c>
      <c r="AH338" s="140">
        <f aca="true" t="shared" si="150" ref="AH338:AH344">AVERAGE(AC338:AG338)</f>
        <v>108.343614273815</v>
      </c>
      <c r="AI338" s="22" t="s">
        <v>102</v>
      </c>
      <c r="AJ338" s="25"/>
      <c r="AK338" s="132">
        <f>AL338-AP338</f>
        <v>-42</v>
      </c>
      <c r="AL338" s="42">
        <f>AL306-AL307</f>
        <v>10586</v>
      </c>
      <c r="AM338" s="42">
        <f>AM306-AM307</f>
        <v>11292</v>
      </c>
      <c r="AN338" s="42">
        <f>AN306-AN307</f>
        <v>11172</v>
      </c>
      <c r="AO338" s="42">
        <f>AO306-AO307</f>
        <v>11042</v>
      </c>
      <c r="AP338" s="42">
        <f>AP306-AP307</f>
        <v>10628</v>
      </c>
      <c r="AQ338" s="53">
        <f>AVERAGE(AL338:AP338)</f>
        <v>10944</v>
      </c>
      <c r="AR338" s="22" t="s">
        <v>53</v>
      </c>
      <c r="AT338" s="132">
        <f aca="true" t="shared" si="151" ref="AT338:AT344">AU338-AY338</f>
        <v>26.042790679204813</v>
      </c>
      <c r="AU338" s="51">
        <f>(AU308/AU334)*100</f>
        <v>87.86339754816113</v>
      </c>
      <c r="AV338" s="51">
        <f>(AV308/AV334)*100</f>
        <v>79.1857912592297</v>
      </c>
      <c r="AW338" s="51">
        <f>(AW308/AW334)*100</f>
        <v>76.12409189083054</v>
      </c>
      <c r="AX338" s="113">
        <f>(AX308/AX334)*100</f>
        <v>65.0810065494657</v>
      </c>
      <c r="AY338" s="113">
        <f>(AY308/AY334)*100</f>
        <v>61.82060686895632</v>
      </c>
      <c r="AZ338" s="140">
        <f aca="true" t="shared" si="152" ref="AZ338:AZ344">AVERAGE(AU338:AY338)</f>
        <v>74.01497882332868</v>
      </c>
      <c r="BC338" s="139"/>
      <c r="BD338" s="143" t="s">
        <v>38</v>
      </c>
      <c r="BE338" s="143" t="s">
        <v>38</v>
      </c>
      <c r="BF338" s="143" t="s">
        <v>38</v>
      </c>
      <c r="BG338" s="143" t="s">
        <v>38</v>
      </c>
      <c r="BH338" s="143" t="s">
        <v>38</v>
      </c>
      <c r="BI338" s="143" t="s">
        <v>38</v>
      </c>
    </row>
    <row r="339" spans="8:61" ht="12">
      <c r="H339" s="64"/>
      <c r="I339" s="60"/>
      <c r="J339" s="60"/>
      <c r="K339" s="69"/>
      <c r="L339" s="69"/>
      <c r="M339" s="69"/>
      <c r="N339" s="69"/>
      <c r="O339" s="69"/>
      <c r="P339" s="67"/>
      <c r="Q339" s="22" t="s">
        <v>104</v>
      </c>
      <c r="S339" s="44">
        <f>T339-X339</f>
        <v>-0.2609418440892184</v>
      </c>
      <c r="T339" s="33">
        <f>T311/T338</f>
        <v>1.1629511448406709</v>
      </c>
      <c r="U339" s="33">
        <f>U311/U338</f>
        <v>0.875361638908437</v>
      </c>
      <c r="V339" s="33">
        <f>V311/V338</f>
        <v>1.490551776266062</v>
      </c>
      <c r="W339" s="33">
        <f>W311/W338</f>
        <v>1.4448298490672167</v>
      </c>
      <c r="X339" s="33">
        <f>X311/X338</f>
        <v>1.4238929889298892</v>
      </c>
      <c r="Y339" s="140">
        <f>AVERAGE(T339:X339)</f>
        <v>1.2795174796024553</v>
      </c>
      <c r="Z339" s="22" t="s">
        <v>54</v>
      </c>
      <c r="AB339" s="44">
        <f t="shared" si="149"/>
        <v>148.6895238095238</v>
      </c>
      <c r="AC339" s="51">
        <f>AC313/AC314</f>
        <v>151.66666666666666</v>
      </c>
      <c r="AD339" s="51">
        <f>AD313/AD314</f>
        <v>2.409937888198758</v>
      </c>
      <c r="AE339" s="51">
        <f>AE313/AE314</f>
        <v>3.701492537313433</v>
      </c>
      <c r="AF339" s="51">
        <f>AF313/AF314</f>
        <v>3.104294478527607</v>
      </c>
      <c r="AG339" s="51">
        <f>AG313/AG314</f>
        <v>2.9771428571428573</v>
      </c>
      <c r="AH339" s="140">
        <f t="shared" si="150"/>
        <v>32.77190688556986</v>
      </c>
      <c r="AI339" s="22" t="s">
        <v>104</v>
      </c>
      <c r="AJ339" s="25"/>
      <c r="AK339" s="44">
        <f>AL339-AP339</f>
        <v>-0.058198275095227014</v>
      </c>
      <c r="AL339" s="33">
        <f>AL311/AL338</f>
        <v>1.9397317211411298</v>
      </c>
      <c r="AM339" s="33">
        <f>AM311/AM338</f>
        <v>1.7840949344668793</v>
      </c>
      <c r="AN339" s="33">
        <f>AN311/AN338</f>
        <v>2.1074113856068744</v>
      </c>
      <c r="AO339" s="33">
        <f>AO311/AO338</f>
        <v>2.0441948922296684</v>
      </c>
      <c r="AP339" s="33">
        <f>AP311/AP338</f>
        <v>1.9979299962363568</v>
      </c>
      <c r="AQ339" s="140">
        <f>AVERAGE(AL339:AP339)</f>
        <v>1.9746725859361818</v>
      </c>
      <c r="AR339" s="22" t="s">
        <v>54</v>
      </c>
      <c r="AT339" s="132">
        <f t="shared" si="151"/>
        <v>-6.336734693877552</v>
      </c>
      <c r="AU339" s="51">
        <f>AU313/-AU314</f>
        <v>-9.357142857142858</v>
      </c>
      <c r="AV339" s="51">
        <f>AV313/-AV314</f>
        <v>-4.818181818181818</v>
      </c>
      <c r="AW339" s="51">
        <f>AW313/-AW314</f>
        <v>-1.035294117647059</v>
      </c>
      <c r="AX339" s="113">
        <f>AX313/-AX314</f>
        <v>-1.54</v>
      </c>
      <c r="AY339" s="113">
        <f>AY313/-AY314</f>
        <v>-3.020408163265306</v>
      </c>
      <c r="AZ339" s="140">
        <f t="shared" si="152"/>
        <v>-3.954205391247408</v>
      </c>
      <c r="BA339" s="139" t="s">
        <v>102</v>
      </c>
      <c r="BB339" s="139"/>
      <c r="BC339" s="146">
        <f>BD339-BH339</f>
        <v>-288</v>
      </c>
      <c r="BD339" s="147">
        <f>BD305-BD306</f>
        <v>5710</v>
      </c>
      <c r="BE339" s="147">
        <f>BE305-BE306</f>
        <v>5011</v>
      </c>
      <c r="BF339" s="147">
        <f>BF305-BF306</f>
        <v>5093</v>
      </c>
      <c r="BG339" s="147">
        <f>BG305-BG306</f>
        <v>5802</v>
      </c>
      <c r="BH339" s="147">
        <f>BH305-BH306</f>
        <v>5998</v>
      </c>
      <c r="BI339" s="53">
        <f>AVERAGE(BD339:BH339)</f>
        <v>5522.8</v>
      </c>
    </row>
    <row r="340" spans="8:61" ht="12">
      <c r="H340" s="64"/>
      <c r="I340" s="60"/>
      <c r="J340" s="60"/>
      <c r="K340" s="70" t="s">
        <v>105</v>
      </c>
      <c r="L340" s="70" t="s">
        <v>105</v>
      </c>
      <c r="M340" s="70" t="s">
        <v>105</v>
      </c>
      <c r="N340" s="70" t="s">
        <v>105</v>
      </c>
      <c r="O340" s="70" t="s">
        <v>105</v>
      </c>
      <c r="P340" s="71" t="s">
        <v>105</v>
      </c>
      <c r="Q340" s="22"/>
      <c r="T340" s="33"/>
      <c r="U340" s="33"/>
      <c r="V340" s="33"/>
      <c r="W340" s="33"/>
      <c r="X340" s="33"/>
      <c r="Y340" s="140"/>
      <c r="Z340" s="22" t="s">
        <v>97</v>
      </c>
      <c r="AB340" s="44">
        <f t="shared" si="149"/>
        <v>4.917763539849834</v>
      </c>
      <c r="AC340" s="51">
        <f>(AC316/AC309)*100</f>
        <v>12.759515570934257</v>
      </c>
      <c r="AD340" s="51">
        <f>(AD316/AD309)*100</f>
        <v>9.174714661984197</v>
      </c>
      <c r="AE340" s="51">
        <f>(AE316/AE309)*100</f>
        <v>7.2522159548751</v>
      </c>
      <c r="AF340" s="51">
        <f>(AF316/AF309)*100</f>
        <v>7.1345482745250095</v>
      </c>
      <c r="AG340" s="51">
        <f>(AG316/AG309)*100</f>
        <v>7.841752031084423</v>
      </c>
      <c r="AH340" s="140">
        <f t="shared" si="150"/>
        <v>8.832549298680599</v>
      </c>
      <c r="AI340" s="22"/>
      <c r="AJ340" s="25"/>
      <c r="AK340" s="25"/>
      <c r="AL340" s="33"/>
      <c r="AM340" s="33"/>
      <c r="AN340" s="33"/>
      <c r="AO340" s="33"/>
      <c r="AP340" s="33"/>
      <c r="AQ340" s="140"/>
      <c r="AR340" s="22" t="s">
        <v>97</v>
      </c>
      <c r="AT340" s="132">
        <f t="shared" si="151"/>
        <v>10.717354050917923</v>
      </c>
      <c r="AU340" s="51">
        <f>(AU316/AU309)*100</f>
        <v>11.461988304093568</v>
      </c>
      <c r="AV340" s="51">
        <f>(AV316/AV309)*100</f>
        <v>5.8628318584070795</v>
      </c>
      <c r="AW340" s="51">
        <f>(AW316/AW309)*100</f>
        <v>-1.0160880609652836</v>
      </c>
      <c r="AX340" s="113">
        <f>(AX316/AX309)*100</f>
        <v>-0.8232445520581114</v>
      </c>
      <c r="AY340" s="113">
        <f>(AY316/AY309)*100</f>
        <v>0.7446342531756461</v>
      </c>
      <c r="AZ340" s="140">
        <f t="shared" si="152"/>
        <v>3.246024360530579</v>
      </c>
      <c r="BA340" s="139" t="s">
        <v>104</v>
      </c>
      <c r="BC340" s="148">
        <f>BD340-BH340</f>
        <v>0.35886216461965237</v>
      </c>
      <c r="BD340" s="149">
        <f>BD311/BD312</f>
        <v>1.4825046040515655</v>
      </c>
      <c r="BE340" s="149">
        <f>BE311/BE312</f>
        <v>1.2424242424242424</v>
      </c>
      <c r="BF340" s="149">
        <f>BF311/BF312</f>
        <v>1.0432007854688268</v>
      </c>
      <c r="BG340" s="149">
        <f>BG311/BG312</f>
        <v>1.0712303422756706</v>
      </c>
      <c r="BH340" s="149">
        <f>BH311/BH312</f>
        <v>1.123642439431913</v>
      </c>
      <c r="BI340" s="140">
        <f>AVERAGE(BD340:BH340)</f>
        <v>1.1926004827304437</v>
      </c>
    </row>
    <row r="341" spans="8:61" ht="12">
      <c r="H341" s="64" t="s">
        <v>53</v>
      </c>
      <c r="I341" s="60"/>
      <c r="J341" s="60"/>
      <c r="K341" s="72">
        <f>(K310/K336)*100</f>
        <v>71.28236002408188</v>
      </c>
      <c r="L341" s="72" t="e">
        <f>(L310/L336)*100</f>
        <v>#DIV/0!</v>
      </c>
      <c r="M341" s="72" t="e">
        <f>(M310/M336)*100</f>
        <v>#DIV/0!</v>
      </c>
      <c r="N341" s="72" t="e">
        <f>(N310/N336)*100</f>
        <v>#DIV/0!</v>
      </c>
      <c r="O341" s="72" t="e">
        <f>(O310/O336)*100</f>
        <v>#DIV/0!</v>
      </c>
      <c r="P341" s="67" t="e">
        <f aca="true" t="shared" si="153" ref="P341:P347">AVERAGE(K341:O341)</f>
        <v>#DIV/0!</v>
      </c>
      <c r="Q341" s="22"/>
      <c r="T341" s="48" t="s">
        <v>105</v>
      </c>
      <c r="U341" s="48" t="s">
        <v>105</v>
      </c>
      <c r="V341" s="48" t="s">
        <v>105</v>
      </c>
      <c r="W341" s="48" t="s">
        <v>105</v>
      </c>
      <c r="X341" s="48" t="s">
        <v>105</v>
      </c>
      <c r="Y341" s="141" t="s">
        <v>105</v>
      </c>
      <c r="Z341" s="22" t="s">
        <v>86</v>
      </c>
      <c r="AB341" s="44">
        <f t="shared" si="149"/>
        <v>-0.47554996668539395</v>
      </c>
      <c r="AC341" s="51">
        <f>(AC313/AC311)*100</f>
        <v>4.431674296289081</v>
      </c>
      <c r="AD341" s="51">
        <f>(AD313/AD311)*100</f>
        <v>3.8518812667527054</v>
      </c>
      <c r="AE341" s="51">
        <f>(AE313/AE311)*100</f>
        <v>4.213387699626232</v>
      </c>
      <c r="AF341" s="51">
        <f>(AF313/AF311)*100</f>
        <v>4.483430799220272</v>
      </c>
      <c r="AG341" s="51">
        <f>(AG313/AG311)*100</f>
        <v>4.907224262974475</v>
      </c>
      <c r="AH341" s="140">
        <f t="shared" si="150"/>
        <v>4.377519664972553</v>
      </c>
      <c r="AI341" s="22"/>
      <c r="AJ341" s="25"/>
      <c r="AK341" s="25"/>
      <c r="AL341" s="48" t="s">
        <v>105</v>
      </c>
      <c r="AM341" s="48" t="s">
        <v>105</v>
      </c>
      <c r="AN341" s="48" t="s">
        <v>105</v>
      </c>
      <c r="AO341" s="48" t="s">
        <v>105</v>
      </c>
      <c r="AP341" s="48" t="s">
        <v>105</v>
      </c>
      <c r="AQ341" s="141" t="s">
        <v>105</v>
      </c>
      <c r="AR341" s="22" t="s">
        <v>86</v>
      </c>
      <c r="AT341" s="132">
        <f t="shared" si="151"/>
        <v>21.542866378812718</v>
      </c>
      <c r="AU341" s="51">
        <f>(AU313/AU311)*100</f>
        <v>32.546583850931675</v>
      </c>
      <c r="AV341" s="51">
        <f>(AV313/AV311)*100</f>
        <v>19.51219512195122</v>
      </c>
      <c r="AW341" s="51">
        <f>(AW313/AW311)*100</f>
        <v>4.141176470588236</v>
      </c>
      <c r="AX341" s="113">
        <f>(AX313/AX311)*100</f>
        <v>6.649395509499137</v>
      </c>
      <c r="AY341" s="113">
        <f>(AY313/AY311)*100</f>
        <v>11.003717472118959</v>
      </c>
      <c r="AZ341" s="140">
        <f t="shared" si="152"/>
        <v>14.770613685017844</v>
      </c>
      <c r="BC341" s="146"/>
      <c r="BD341" s="147"/>
      <c r="BE341" s="147"/>
      <c r="BF341" s="147"/>
      <c r="BG341" s="147"/>
      <c r="BH341" s="147"/>
      <c r="BI341" s="53"/>
    </row>
    <row r="342" spans="8:61" ht="12">
      <c r="H342" s="64" t="s">
        <v>54</v>
      </c>
      <c r="I342" s="60"/>
      <c r="J342" s="60"/>
      <c r="K342" s="72">
        <f>K315/-K316</f>
        <v>-20.59734513274336</v>
      </c>
      <c r="L342" s="72" t="e">
        <f>L315/-L316</f>
        <v>#DIV/0!</v>
      </c>
      <c r="M342" s="72" t="e">
        <f>M315/-M316</f>
        <v>#DIV/0!</v>
      </c>
      <c r="N342" s="72" t="e">
        <f>N315/-N316</f>
        <v>#DIV/0!</v>
      </c>
      <c r="O342" s="72" t="e">
        <f>O315/-O316</f>
        <v>#DIV/0!</v>
      </c>
      <c r="P342" s="67" t="e">
        <f t="shared" si="153"/>
        <v>#DIV/0!</v>
      </c>
      <c r="Q342" s="22" t="s">
        <v>53</v>
      </c>
      <c r="S342" s="44">
        <f aca="true" t="shared" si="154" ref="S342:S348">T342-X342</f>
        <v>-5.483919356678783</v>
      </c>
      <c r="T342" s="51">
        <f>(T308/T338)*100</f>
        <v>74.58065628907767</v>
      </c>
      <c r="U342" s="51">
        <f>(U308/U338)*100</f>
        <v>76.81992337164752</v>
      </c>
      <c r="V342" s="51">
        <f>(V308/V338)*100</f>
        <v>82.36961451247166</v>
      </c>
      <c r="W342" s="51">
        <f>(W308/W338)*100</f>
        <v>80.71622761788694</v>
      </c>
      <c r="X342" s="51">
        <f>(X308/X338)*100</f>
        <v>80.06457564575645</v>
      </c>
      <c r="Y342" s="140">
        <f aca="true" t="shared" si="155" ref="Y342:Y348">AVERAGE(T342:X342)</f>
        <v>78.91019948736805</v>
      </c>
      <c r="Z342" s="22" t="s">
        <v>23</v>
      </c>
      <c r="AB342" s="44">
        <f t="shared" si="149"/>
        <v>0.4217480676261973</v>
      </c>
      <c r="AC342" s="51">
        <f>AC305/AC307</f>
        <v>0.9881563363600474</v>
      </c>
      <c r="AD342" s="51">
        <f>AD305/AD307</f>
        <v>0.7180616740088106</v>
      </c>
      <c r="AE342" s="51">
        <f>AE305/AE307</f>
        <v>0.8356545961002786</v>
      </c>
      <c r="AF342" s="51">
        <f>AF305/AF307</f>
        <v>0.7665696734561914</v>
      </c>
      <c r="AG342" s="51">
        <f>AG305/AG307</f>
        <v>0.5664082687338501</v>
      </c>
      <c r="AH342" s="140">
        <f t="shared" si="150"/>
        <v>0.7749701097318356</v>
      </c>
      <c r="AI342" s="22" t="s">
        <v>53</v>
      </c>
      <c r="AJ342" s="25"/>
      <c r="AK342" s="44">
        <f aca="true" t="shared" si="156" ref="AK342:AK348">AL342-AP342</f>
        <v>-25.56013612826564</v>
      </c>
      <c r="AL342" s="51">
        <f>(AL308/AL338)*100</f>
        <v>93.97317211411298</v>
      </c>
      <c r="AM342" s="51">
        <f>(AM308/AM338)*100</f>
        <v>111.91994332270635</v>
      </c>
      <c r="AN342" s="51">
        <f>(AN308/AN338)*100</f>
        <v>106.98174006444683</v>
      </c>
      <c r="AO342" s="51">
        <f>(AO308/AO338)*100</f>
        <v>109.30990762543018</v>
      </c>
      <c r="AP342" s="51">
        <f>(AP308/AP338)*100</f>
        <v>119.53330824237862</v>
      </c>
      <c r="AQ342" s="140">
        <f aca="true" t="shared" si="157" ref="AQ342:AQ348">AVERAGE(AL342:AP342)</f>
        <v>108.343614273815</v>
      </c>
      <c r="AR342" s="22" t="s">
        <v>23</v>
      </c>
      <c r="AT342" s="132">
        <f t="shared" si="151"/>
        <v>-0.033387354291700366</v>
      </c>
      <c r="AU342" s="51">
        <f>AU305/AU307</f>
        <v>0.9762702400893356</v>
      </c>
      <c r="AV342" s="51">
        <f>AV305/AV307</f>
        <v>1.0582977069568598</v>
      </c>
      <c r="AW342" s="51">
        <f>AW305/AW307</f>
        <v>1.0098839707778255</v>
      </c>
      <c r="AX342" s="113">
        <f>AX305/AX307</f>
        <v>1.217680608365019</v>
      </c>
      <c r="AY342" s="113">
        <f>AY305/AY307</f>
        <v>1.009657594381036</v>
      </c>
      <c r="AZ342" s="140">
        <f t="shared" si="152"/>
        <v>1.0543580241140151</v>
      </c>
      <c r="BA342" s="139"/>
      <c r="BC342" s="146"/>
      <c r="BD342" s="147"/>
      <c r="BE342" s="147"/>
      <c r="BF342" s="147"/>
      <c r="BG342" s="147"/>
      <c r="BH342" s="147"/>
      <c r="BI342" s="53"/>
    </row>
    <row r="343" spans="8:61" ht="12">
      <c r="H343" s="64" t="s">
        <v>97</v>
      </c>
      <c r="I343" s="60"/>
      <c r="J343" s="60"/>
      <c r="K343" s="72">
        <f>(K318/K311)*100</f>
        <v>5.966101694915254</v>
      </c>
      <c r="L343" s="72" t="e">
        <f>(L318/L311)*100</f>
        <v>#DIV/0!</v>
      </c>
      <c r="M343" s="72" t="e">
        <f>(M318/M311)*100</f>
        <v>#DIV/0!</v>
      </c>
      <c r="N343" s="72" t="e">
        <f>(N318/N311)*100</f>
        <v>#DIV/0!</v>
      </c>
      <c r="O343" s="72" t="e">
        <f>(O318/O311)*100</f>
        <v>#DIV/0!</v>
      </c>
      <c r="P343" s="67" t="e">
        <f t="shared" si="153"/>
        <v>#DIV/0!</v>
      </c>
      <c r="Q343" s="22" t="s">
        <v>54</v>
      </c>
      <c r="S343" s="44">
        <f t="shared" si="154"/>
        <v>-0.4927611940298533</v>
      </c>
      <c r="T343" s="51">
        <f>T313/T314</f>
        <v>17.955</v>
      </c>
      <c r="U343" s="51">
        <f>U313/U314</f>
        <v>19.897155361050327</v>
      </c>
      <c r="V343" s="51">
        <f>V313/V314</f>
        <v>21.313333333333333</v>
      </c>
      <c r="W343" s="51">
        <f>W313/W314</f>
        <v>23.185873605947954</v>
      </c>
      <c r="X343" s="51">
        <f>X313/X314</f>
        <v>18.44776119402985</v>
      </c>
      <c r="Y343" s="140">
        <f t="shared" si="155"/>
        <v>20.159824698872292</v>
      </c>
      <c r="Z343" s="22" t="s">
        <v>49</v>
      </c>
      <c r="AB343" s="44">
        <f t="shared" si="149"/>
        <v>-1.4532618869227512</v>
      </c>
      <c r="AC343" s="51">
        <f>((AC316-AC314-AC315)/AC334)*100</f>
        <v>3.6841110901190253</v>
      </c>
      <c r="AD343" s="51">
        <f>((AD316-AD314-AD315)/AD334)*100</f>
        <v>-0.7616011335458732</v>
      </c>
      <c r="AE343" s="51">
        <f>((AE313-AE314-AE315)/AE334)*100</f>
        <v>4.475474400286431</v>
      </c>
      <c r="AF343" s="51">
        <f>((AF313-AF314-AF315)/AF334)*100</f>
        <v>4.654953812715088</v>
      </c>
      <c r="AG343" s="51">
        <f>((AG313-AG314-AG315)/AG334)*100</f>
        <v>5.137372977041776</v>
      </c>
      <c r="AH343" s="140">
        <f t="shared" si="150"/>
        <v>3.4380622293232888</v>
      </c>
      <c r="AI343" s="22" t="s">
        <v>54</v>
      </c>
      <c r="AJ343" s="25"/>
      <c r="AK343" s="44">
        <f t="shared" si="156"/>
        <v>148.6895238095238</v>
      </c>
      <c r="AL343" s="51">
        <f>AL313/AL314</f>
        <v>151.66666666666666</v>
      </c>
      <c r="AM343" s="51">
        <f>AM313/AM314</f>
        <v>2.409937888198758</v>
      </c>
      <c r="AN343" s="51">
        <f>AN313/AN314</f>
        <v>3.701492537313433</v>
      </c>
      <c r="AO343" s="51">
        <f>AO313/AO314</f>
        <v>3.104294478527607</v>
      </c>
      <c r="AP343" s="51">
        <f>AP313/AP314</f>
        <v>2.9771428571428573</v>
      </c>
      <c r="AQ343" s="140">
        <f t="shared" si="157"/>
        <v>32.77190688556986</v>
      </c>
      <c r="AR343" s="22" t="s">
        <v>49</v>
      </c>
      <c r="AT343" s="132">
        <f t="shared" si="151"/>
        <v>3.613446163315384</v>
      </c>
      <c r="AU343" s="51">
        <f>((AU316-AU314-AU315)/AU334)*100</f>
        <v>3.3800350262697023</v>
      </c>
      <c r="AV343" s="51">
        <f>((AV316-AV314-AV315)/AV334)*100</f>
        <v>0.09978048293753741</v>
      </c>
      <c r="AW343" s="51">
        <f>((AW313-AW314-AW315)/AW334)*100</f>
        <v>-2.5525230708816022</v>
      </c>
      <c r="AX343" s="113">
        <f>((AX313-AX314-AX315)/AX334)*100</f>
        <v>5.067218200620475</v>
      </c>
      <c r="AY343" s="113">
        <f>((AY313-AY314-AY315)/AY334)*100</f>
        <v>-0.23341113704568192</v>
      </c>
      <c r="AZ343" s="140">
        <f t="shared" si="152"/>
        <v>1.1522199003800861</v>
      </c>
      <c r="BA343" s="139"/>
      <c r="BD343" s="149"/>
      <c r="BE343" s="149"/>
      <c r="BF343" s="149"/>
      <c r="BG343" s="149"/>
      <c r="BH343" s="149"/>
      <c r="BI343" s="140"/>
    </row>
    <row r="344" spans="8:61" ht="12">
      <c r="H344" s="64" t="s">
        <v>86</v>
      </c>
      <c r="I344" s="60"/>
      <c r="J344" s="60"/>
      <c r="K344" s="72">
        <f>(K315/K313)*100</f>
        <v>33.56164383561644</v>
      </c>
      <c r="L344" s="72" t="e">
        <f>(L315/L313)*100</f>
        <v>#DIV/0!</v>
      </c>
      <c r="M344" s="72" t="e">
        <f>(M315/M313)*100</f>
        <v>#DIV/0!</v>
      </c>
      <c r="N344" s="72" t="e">
        <f>(N315/N313)*100</f>
        <v>#DIV/0!</v>
      </c>
      <c r="O344" s="72" t="e">
        <f>(O315/O313)*100</f>
        <v>#DIV/0!</v>
      </c>
      <c r="P344" s="67" t="e">
        <f t="shared" si="153"/>
        <v>#DIV/0!</v>
      </c>
      <c r="Q344" s="22" t="s">
        <v>97</v>
      </c>
      <c r="S344" s="44">
        <f t="shared" si="154"/>
        <v>-6.076661945547238</v>
      </c>
      <c r="T344" s="51">
        <f>(T316/T309)*100</f>
        <v>8.119797617104618</v>
      </c>
      <c r="U344" s="51">
        <f>(U316/U309)*100</f>
        <v>10.400177527923663</v>
      </c>
      <c r="V344" s="51">
        <f>(V316/V309)*100</f>
        <v>11.17236906113183</v>
      </c>
      <c r="W344" s="51">
        <f>(W316/W309)*100</f>
        <v>11.666666666666666</v>
      </c>
      <c r="X344" s="51">
        <f>(X316/X309)*100</f>
        <v>14.196459562651857</v>
      </c>
      <c r="Y344" s="140">
        <f t="shared" si="155"/>
        <v>11.111094087095728</v>
      </c>
      <c r="Z344" s="22" t="s">
        <v>50</v>
      </c>
      <c r="AB344" s="44">
        <f t="shared" si="149"/>
        <v>-0.6720588542485295</v>
      </c>
      <c r="AC344" s="51">
        <f>((AC316-AC314-AC315)/AC311)*100</f>
        <v>1.899288984123892</v>
      </c>
      <c r="AD344" s="51">
        <f>((AD316-AD314-AD315)/AD311)*100</f>
        <v>-0.42688374863496475</v>
      </c>
      <c r="AE344" s="51">
        <f>((AE313-AE314-AE315)/AE311)*100</f>
        <v>2.123683316343867</v>
      </c>
      <c r="AF344" s="51">
        <f>((AF313-AF314-AF315)/AF311)*100</f>
        <v>2.277157540315435</v>
      </c>
      <c r="AG344" s="51">
        <f>((AG313-AG314-AG315)/AG311)*100</f>
        <v>2.5713478383724215</v>
      </c>
      <c r="AH344" s="140">
        <f t="shared" si="150"/>
        <v>1.68891878610413</v>
      </c>
      <c r="AI344" s="22" t="s">
        <v>97</v>
      </c>
      <c r="AJ344" s="25"/>
      <c r="AK344" s="44">
        <f t="shared" si="156"/>
        <v>4.917763539849834</v>
      </c>
      <c r="AL344" s="51">
        <f>(AL316/AL309)*100</f>
        <v>12.759515570934257</v>
      </c>
      <c r="AM344" s="51">
        <f>(AM316/AM309)*100</f>
        <v>9.174714661984197</v>
      </c>
      <c r="AN344" s="51">
        <f>(AN316/AN309)*100</f>
        <v>7.2522159548751</v>
      </c>
      <c r="AO344" s="51">
        <f>(AO316/AO309)*100</f>
        <v>7.1345482745250095</v>
      </c>
      <c r="AP344" s="51">
        <f>(AP316/AP309)*100</f>
        <v>7.841752031084423</v>
      </c>
      <c r="AQ344" s="140">
        <f t="shared" si="157"/>
        <v>8.832549298680599</v>
      </c>
      <c r="AR344" s="22" t="s">
        <v>50</v>
      </c>
      <c r="AT344" s="132">
        <f t="shared" si="151"/>
        <v>8.51216452315531</v>
      </c>
      <c r="AU344" s="51">
        <f>((AU316-AU314-AU315)/AU311)*100</f>
        <v>7.991718426501035</v>
      </c>
      <c r="AV344" s="51">
        <f>((AV316-AV314-AV315)/AV311)*100</f>
        <v>0.23009664058904739</v>
      </c>
      <c r="AW344" s="51">
        <f>((AW313-AW314-AW315)/AW311)*100</f>
        <v>-6.11764705882353</v>
      </c>
      <c r="AX344" s="113">
        <f>((AX313-AX314-AX315)/AX311)*100</f>
        <v>12.694300518134716</v>
      </c>
      <c r="AY344" s="113">
        <f>((AY313-AY314-AY315)/AY311)*100</f>
        <v>-0.5204460966542751</v>
      </c>
      <c r="AZ344" s="140">
        <f t="shared" si="152"/>
        <v>2.8556044859493985</v>
      </c>
      <c r="BA344" s="139" t="s">
        <v>53</v>
      </c>
      <c r="BC344" s="148">
        <f aca="true" t="shared" si="158" ref="BC344:BC350">BD344-BH344</f>
        <v>26.042790679204813</v>
      </c>
      <c r="BD344" s="144">
        <f>(BD307/BD339)*100</f>
        <v>87.86339754816113</v>
      </c>
      <c r="BE344" s="144">
        <f>(BE307/BE339)*100</f>
        <v>79.1857912592297</v>
      </c>
      <c r="BF344" s="144">
        <f>(BF307/BF339)*100</f>
        <v>76.12409189083054</v>
      </c>
      <c r="BG344" s="144">
        <f>(BG307/BG339)*100</f>
        <v>65.0810065494657</v>
      </c>
      <c r="BH344" s="144">
        <f>(BH307/BH339)*100</f>
        <v>61.82060686895632</v>
      </c>
      <c r="BI344" s="140">
        <f aca="true" t="shared" si="159" ref="BI344:BI350">AVERAGE(BD344:BH344)</f>
        <v>74.01497882332868</v>
      </c>
    </row>
    <row r="345" spans="8:61" ht="12">
      <c r="H345" s="64" t="s">
        <v>23</v>
      </c>
      <c r="I345" s="60"/>
      <c r="J345" s="60"/>
      <c r="K345" s="72">
        <f>K307/K309</f>
        <v>1.251503006012024</v>
      </c>
      <c r="L345" s="72" t="e">
        <f>L307/L309</f>
        <v>#DIV/0!</v>
      </c>
      <c r="M345" s="72" t="e">
        <f>M307/M309</f>
        <v>#DIV/0!</v>
      </c>
      <c r="N345" s="72" t="e">
        <f>N307/N309</f>
        <v>#DIV/0!</v>
      </c>
      <c r="O345" s="72" t="e">
        <f>O307/O309</f>
        <v>#DIV/0!</v>
      </c>
      <c r="P345" s="67" t="e">
        <f t="shared" si="153"/>
        <v>#DIV/0!</v>
      </c>
      <c r="Q345" s="22" t="s">
        <v>86</v>
      </c>
      <c r="S345" s="44">
        <f t="shared" si="154"/>
        <v>-0.09449004454793197</v>
      </c>
      <c r="T345" s="51">
        <f>(T313/T311)*100</f>
        <v>39.944382647385986</v>
      </c>
      <c r="U345" s="51">
        <f>(U313/U311)*100</f>
        <v>40.61188030370701</v>
      </c>
      <c r="V345" s="51">
        <f>(V313/V311)*100</f>
        <v>40.52991886409736</v>
      </c>
      <c r="W345" s="51">
        <f>(W313/W311)*100</f>
        <v>40.468466130288085</v>
      </c>
      <c r="X345" s="51">
        <f>(X313/X311)*100</f>
        <v>40.03887269193392</v>
      </c>
      <c r="Y345" s="140">
        <f t="shared" si="155"/>
        <v>40.31870412748248</v>
      </c>
      <c r="AH345" s="137"/>
      <c r="AI345" s="22" t="s">
        <v>86</v>
      </c>
      <c r="AJ345" s="25"/>
      <c r="AK345" s="44">
        <f t="shared" si="156"/>
        <v>-0.47554996668539395</v>
      </c>
      <c r="AL345" s="51">
        <f>(AL313/AL311)*100</f>
        <v>4.431674296289081</v>
      </c>
      <c r="AM345" s="51">
        <f>(AM313/AM311)*100</f>
        <v>3.8518812667527054</v>
      </c>
      <c r="AN345" s="51">
        <f>(AN313/AN311)*100</f>
        <v>4.213387699626232</v>
      </c>
      <c r="AO345" s="51">
        <f>(AO313/AO311)*100</f>
        <v>4.483430799220272</v>
      </c>
      <c r="AP345" s="51">
        <f>(AP313/AP311)*100</f>
        <v>4.907224262974475</v>
      </c>
      <c r="AQ345" s="140">
        <f t="shared" si="157"/>
        <v>4.377519664972553</v>
      </c>
      <c r="AX345" s="107"/>
      <c r="AY345" s="107"/>
      <c r="AZ345" s="137"/>
      <c r="BA345" s="139" t="s">
        <v>54</v>
      </c>
      <c r="BC345" s="148">
        <f t="shared" si="158"/>
        <v>6.336734693877552</v>
      </c>
      <c r="BD345" s="144">
        <f>BD313/BD314</f>
        <v>9.357142857142858</v>
      </c>
      <c r="BE345" s="144">
        <f>BE313/BE314</f>
        <v>4.818181818181818</v>
      </c>
      <c r="BF345" s="144">
        <f>BF313/BF314</f>
        <v>1.035294117647059</v>
      </c>
      <c r="BG345" s="144">
        <f>BG313/BG314</f>
        <v>1.54</v>
      </c>
      <c r="BH345" s="144">
        <f>BH313/BH314</f>
        <v>3.020408163265306</v>
      </c>
      <c r="BI345" s="140">
        <f t="shared" si="159"/>
        <v>3.954205391247408</v>
      </c>
    </row>
    <row r="346" spans="8:61" ht="12">
      <c r="H346" s="64" t="s">
        <v>49</v>
      </c>
      <c r="I346" s="60"/>
      <c r="J346" s="60"/>
      <c r="K346" s="72">
        <f>((K318-K316-K317)/K336)*100</f>
        <v>-0.31306441902468407</v>
      </c>
      <c r="L346" s="72" t="e">
        <f>((L318-L316-L317)/L336)*100</f>
        <v>#DIV/0!</v>
      </c>
      <c r="M346" s="72" t="e">
        <f>((M315-M316-M317)/M336)*100</f>
        <v>#DIV/0!</v>
      </c>
      <c r="N346" s="72" t="e">
        <f>((N315-N316-N317)/N336)*100</f>
        <v>#DIV/0!</v>
      </c>
      <c r="O346" s="72" t="e">
        <f>((O315-O316-O317)/O336)*100</f>
        <v>#DIV/0!</v>
      </c>
      <c r="P346" s="67" t="e">
        <f t="shared" si="153"/>
        <v>#DIV/0!</v>
      </c>
      <c r="Q346" s="22" t="s">
        <v>23</v>
      </c>
      <c r="S346" s="44">
        <f t="shared" si="154"/>
        <v>-0.8195057208122065</v>
      </c>
      <c r="T346" s="51">
        <f>T305/T307</f>
        <v>1.167164648529643</v>
      </c>
      <c r="U346" s="51">
        <f>U305/U307</f>
        <v>1.336627140974967</v>
      </c>
      <c r="V346" s="51">
        <f>V305/V307</f>
        <v>1.7461055568472448</v>
      </c>
      <c r="W346" s="51">
        <f>W305/W307</f>
        <v>1.9191346896729333</v>
      </c>
      <c r="X346" s="51">
        <f>X305/X307</f>
        <v>1.9866703693418495</v>
      </c>
      <c r="Y346" s="140">
        <f t="shared" si="155"/>
        <v>1.6311404810733277</v>
      </c>
      <c r="AH346" s="137"/>
      <c r="AI346" s="22" t="s">
        <v>23</v>
      </c>
      <c r="AJ346" s="25"/>
      <c r="AK346" s="44">
        <f t="shared" si="156"/>
        <v>0.4217480676261973</v>
      </c>
      <c r="AL346" s="51">
        <f>AL305/AL307</f>
        <v>0.9881563363600474</v>
      </c>
      <c r="AM346" s="51">
        <f>AM305/AM307</f>
        <v>0.7180616740088106</v>
      </c>
      <c r="AN346" s="51">
        <f>AN305/AN307</f>
        <v>0.8356545961002786</v>
      </c>
      <c r="AO346" s="51">
        <f>AO305/AO307</f>
        <v>0.7665696734561914</v>
      </c>
      <c r="AP346" s="51">
        <f>AP305/AP307</f>
        <v>0.5664082687338501</v>
      </c>
      <c r="AQ346" s="140">
        <f t="shared" si="157"/>
        <v>0.7749701097318356</v>
      </c>
      <c r="AX346" s="107"/>
      <c r="AY346" s="107"/>
      <c r="AZ346" s="137"/>
      <c r="BA346" s="139" t="s">
        <v>97</v>
      </c>
      <c r="BC346" s="148">
        <f t="shared" si="158"/>
        <v>10.717354050917923</v>
      </c>
      <c r="BD346" s="144">
        <f>(BD316/BD308)*100</f>
        <v>11.461988304093568</v>
      </c>
      <c r="BE346" s="144">
        <f>(BE316/BE308)*100</f>
        <v>5.8628318584070795</v>
      </c>
      <c r="BF346" s="144">
        <f>(BF316/BF308)*100</f>
        <v>-1.0160880609652836</v>
      </c>
      <c r="BG346" s="144">
        <f>(BG316/BG308)*100</f>
        <v>-0.8232445520581114</v>
      </c>
      <c r="BH346" s="144">
        <f>(BH316/BH308)*100</f>
        <v>0.7446342531756461</v>
      </c>
      <c r="BI346" s="140">
        <f t="shared" si="159"/>
        <v>3.246024360530579</v>
      </c>
    </row>
    <row r="347" spans="8:61" ht="12">
      <c r="H347" s="64" t="s">
        <v>50</v>
      </c>
      <c r="I347" s="60"/>
      <c r="J347" s="60"/>
      <c r="K347" s="72">
        <f>((K318-K316-K317)/K313)*100</f>
        <v>-0.18745493871665475</v>
      </c>
      <c r="L347" s="72" t="e">
        <f>((L318-L316-L317)/L313)*100</f>
        <v>#DIV/0!</v>
      </c>
      <c r="M347" s="72" t="e">
        <f>((M315-M316-M317)/M313)*100</f>
        <v>#DIV/0!</v>
      </c>
      <c r="N347" s="72" t="e">
        <f>((N315-N316-N317)/N313)*100</f>
        <v>#DIV/0!</v>
      </c>
      <c r="O347" s="72" t="e">
        <f>((O315-O316-O317)/O313)*100</f>
        <v>#DIV/0!</v>
      </c>
      <c r="P347" s="67" t="e">
        <f t="shared" si="153"/>
        <v>#DIV/0!</v>
      </c>
      <c r="Q347" s="22" t="s">
        <v>49</v>
      </c>
      <c r="S347" s="44">
        <f t="shared" si="154"/>
        <v>-2.4745077816006074</v>
      </c>
      <c r="T347" s="51">
        <f>((T316+T314+T315)/T338)*100</f>
        <v>9.296709930576515</v>
      </c>
      <c r="U347" s="51">
        <f>((U316+U314+U315)/U338)*100</f>
        <v>9.164125420283057</v>
      </c>
      <c r="V347" s="51">
        <f>((V316+V314+V315)/V338)*100</f>
        <v>12.386621315192743</v>
      </c>
      <c r="W347" s="51">
        <f>((W316+W314+W315)/W338)*100</f>
        <v>9.580950595293897</v>
      </c>
      <c r="X347" s="51">
        <f>((X316+X314+X315)/X338)*100</f>
        <v>11.771217712177123</v>
      </c>
      <c r="Y347" s="140">
        <f t="shared" si="155"/>
        <v>10.439924994704668</v>
      </c>
      <c r="AH347" s="137"/>
      <c r="AI347" s="22" t="s">
        <v>49</v>
      </c>
      <c r="AJ347" s="25"/>
      <c r="AK347" s="44">
        <f t="shared" si="156"/>
        <v>-1.3818749684022489</v>
      </c>
      <c r="AL347" s="51">
        <f>((AL316+AL314+AL315)/AL338)*100</f>
        <v>7.462686567164178</v>
      </c>
      <c r="AM347" s="51">
        <f>((AM316+AM314+AM315)/AM338)*100</f>
        <v>8.165072617782501</v>
      </c>
      <c r="AN347" s="51">
        <f>((AN316+AN314+AN315)/AN338)*100</f>
        <v>7.626208378088077</v>
      </c>
      <c r="AO347" s="51">
        <f>((AO316+AO314+AO315)/AO338)*100</f>
        <v>7.842782104691179</v>
      </c>
      <c r="AP347" s="51">
        <f>((AP316+AP314+AP315)/AP338)*100</f>
        <v>8.844561535566427</v>
      </c>
      <c r="AQ347" s="140">
        <f t="shared" si="157"/>
        <v>7.988262240658472</v>
      </c>
      <c r="AX347" s="107"/>
      <c r="AY347" s="107"/>
      <c r="AZ347" s="137"/>
      <c r="BA347" s="139" t="s">
        <v>86</v>
      </c>
      <c r="BC347" s="148">
        <f t="shared" si="158"/>
        <v>21.542866378812718</v>
      </c>
      <c r="BD347" s="144">
        <f>(BD313/BD311)*100</f>
        <v>32.546583850931675</v>
      </c>
      <c r="BE347" s="144">
        <f>(BE313/BE311)*100</f>
        <v>19.51219512195122</v>
      </c>
      <c r="BF347" s="144">
        <f>(BF313/BF311)*100</f>
        <v>4.141176470588236</v>
      </c>
      <c r="BG347" s="144">
        <f>(BG313/BG311)*100</f>
        <v>6.649395509499137</v>
      </c>
      <c r="BH347" s="144">
        <f>(BH313/BH311)*100</f>
        <v>11.003717472118959</v>
      </c>
      <c r="BI347" s="140">
        <f t="shared" si="159"/>
        <v>14.770613685017844</v>
      </c>
    </row>
    <row r="348" spans="8:61" ht="12">
      <c r="H348" s="60"/>
      <c r="I348" s="60"/>
      <c r="J348" s="60"/>
      <c r="K348" s="60"/>
      <c r="L348" s="60"/>
      <c r="M348" s="60"/>
      <c r="N348" s="60"/>
      <c r="O348" s="60"/>
      <c r="P348" s="61"/>
      <c r="Q348" s="22" t="s">
        <v>50</v>
      </c>
      <c r="S348" s="44">
        <f t="shared" si="154"/>
        <v>-0.27285833555838845</v>
      </c>
      <c r="T348" s="51">
        <f>((T316+T314+T315)/T311)*100</f>
        <v>7.994067482387838</v>
      </c>
      <c r="U348" s="51">
        <f>((U316+U314+U315)/U311)*100</f>
        <v>10.46895935685574</v>
      </c>
      <c r="V348" s="51">
        <f>((V316+V314+V315)/V311)*100</f>
        <v>8.310091277890466</v>
      </c>
      <c r="W348" s="51">
        <f>((W316+W314+W315)/W311)*100</f>
        <v>6.631196470282896</v>
      </c>
      <c r="X348" s="51">
        <f>((X316+X314+X315)/X311)*100</f>
        <v>8.266925817946227</v>
      </c>
      <c r="Y348" s="140">
        <f t="shared" si="155"/>
        <v>8.334248081072634</v>
      </c>
      <c r="AH348" s="137"/>
      <c r="AI348" s="22" t="s">
        <v>50</v>
      </c>
      <c r="AJ348" s="25"/>
      <c r="AK348" s="44">
        <f t="shared" si="156"/>
        <v>-0.5795848930935015</v>
      </c>
      <c r="AL348" s="51">
        <f>((AL316+AL314+AL315)/AL311)*100</f>
        <v>3.847277685789422</v>
      </c>
      <c r="AM348" s="51">
        <f>((AM316+AM314+AM315)/AM311)*100</f>
        <v>4.576590886528343</v>
      </c>
      <c r="AN348" s="51">
        <f>((AN316+AN314+AN315)/AN311)*100</f>
        <v>3.6187563710499493</v>
      </c>
      <c r="AO348" s="51">
        <f>((AO316+AO314+AO315)/AO311)*100</f>
        <v>3.8366117313485737</v>
      </c>
      <c r="AP348" s="51">
        <f>((AP316+AP314+AP315)/AP311)*100</f>
        <v>4.426862578882924</v>
      </c>
      <c r="AQ348" s="140">
        <f t="shared" si="157"/>
        <v>4.0612198507198425</v>
      </c>
      <c r="AX348" s="107"/>
      <c r="AY348" s="107"/>
      <c r="AZ348" s="137"/>
      <c r="BA348" s="139" t="s">
        <v>23</v>
      </c>
      <c r="BC348" s="148">
        <f t="shared" si="158"/>
        <v>-0.033387354291700366</v>
      </c>
      <c r="BD348" s="144">
        <f>BD304/BD306</f>
        <v>0.9762702400893356</v>
      </c>
      <c r="BE348" s="144">
        <f>BE304/BE306</f>
        <v>1.0582977069568598</v>
      </c>
      <c r="BF348" s="144">
        <f>BF304/BF306</f>
        <v>1.0098839707778255</v>
      </c>
      <c r="BG348" s="144">
        <f>BG304/BG306</f>
        <v>1.217680608365019</v>
      </c>
      <c r="BH348" s="144">
        <f>BH304/BH306</f>
        <v>1.009657594381036</v>
      </c>
      <c r="BI348" s="140">
        <f t="shared" si="159"/>
        <v>1.0543580241140151</v>
      </c>
    </row>
    <row r="349" spans="8:61" ht="12">
      <c r="H349" s="60"/>
      <c r="I349" s="60"/>
      <c r="J349" s="60"/>
      <c r="K349" s="60"/>
      <c r="L349" s="60"/>
      <c r="M349" s="60"/>
      <c r="N349" s="60"/>
      <c r="O349" s="60"/>
      <c r="P349" s="61"/>
      <c r="AH349" s="137"/>
      <c r="AI349" s="25"/>
      <c r="AJ349" s="25"/>
      <c r="AK349" s="25"/>
      <c r="AL349" s="25"/>
      <c r="AM349" s="25"/>
      <c r="AN349" s="25"/>
      <c r="AO349" s="25"/>
      <c r="AP349" s="25"/>
      <c r="AQ349" s="137"/>
      <c r="AX349" s="107"/>
      <c r="AY349" s="107"/>
      <c r="AZ349" s="137"/>
      <c r="BA349" s="139" t="s">
        <v>49</v>
      </c>
      <c r="BC349" s="148">
        <f t="shared" si="158"/>
        <v>8.047592046151987</v>
      </c>
      <c r="BD349" s="144">
        <f>((BD316+BD314+BD315)/BD339)*100</f>
        <v>13.782837127845884</v>
      </c>
      <c r="BE349" s="144">
        <f>((BE316+BE314+BE315)/BE339)*100</f>
        <v>8.361604470165636</v>
      </c>
      <c r="BF349" s="144">
        <f>((BF316+BF314+BF315)/BF339)*100</f>
        <v>3.573532299234243</v>
      </c>
      <c r="BG349" s="144">
        <f>((BG316+BG314+BG315)/BG339)*100</f>
        <v>-2.998965873836608</v>
      </c>
      <c r="BH349" s="144">
        <f>((BH316+BH314+BH315)/BH339)*100</f>
        <v>5.735245081693898</v>
      </c>
      <c r="BI349" s="140">
        <f t="shared" si="159"/>
        <v>5.69085062102061</v>
      </c>
    </row>
    <row r="350" spans="8:61" ht="12">
      <c r="H350" s="60"/>
      <c r="I350" s="60"/>
      <c r="J350" s="60"/>
      <c r="K350" s="60"/>
      <c r="L350" s="60"/>
      <c r="M350" s="60"/>
      <c r="N350" s="60"/>
      <c r="O350" s="60"/>
      <c r="P350" s="61"/>
      <c r="AH350" s="137"/>
      <c r="AI350" s="25"/>
      <c r="AJ350" s="25"/>
      <c r="AK350" s="25"/>
      <c r="AL350" s="25"/>
      <c r="AM350" s="25"/>
      <c r="AN350" s="25"/>
      <c r="AO350" s="25"/>
      <c r="AP350" s="25"/>
      <c r="AQ350" s="137"/>
      <c r="AX350" s="107"/>
      <c r="AY350" s="107"/>
      <c r="AZ350" s="137"/>
      <c r="BA350" s="139" t="s">
        <v>50</v>
      </c>
      <c r="BC350" s="148">
        <f t="shared" si="158"/>
        <v>19.79988762920717</v>
      </c>
      <c r="BD350" s="144">
        <f>((BD316+BD314+BD315)/BD311)*100</f>
        <v>32.5879917184265</v>
      </c>
      <c r="BE350" s="144">
        <f>((BE316+BE314+BE315)/BE311)*100</f>
        <v>19.282098481362173</v>
      </c>
      <c r="BF350" s="144">
        <f>((BF316+BF314+BF315)/BF311)*100</f>
        <v>8.564705882352941</v>
      </c>
      <c r="BG350" s="144">
        <f>((BG316+BG314+BG315)/BG311)*100</f>
        <v>-7.512953367875648</v>
      </c>
      <c r="BH350" s="144">
        <f>((BH316+BH314+BH315)/BH311)*100</f>
        <v>12.788104089219331</v>
      </c>
      <c r="BI350" s="140">
        <f t="shared" si="159"/>
        <v>13.141989360697062</v>
      </c>
    </row>
    <row r="351" spans="8:61" ht="12">
      <c r="H351" s="60"/>
      <c r="I351" s="60"/>
      <c r="J351" s="60"/>
      <c r="K351" s="60"/>
      <c r="L351" s="60"/>
      <c r="M351" s="60"/>
      <c r="N351" s="60"/>
      <c r="O351" s="60"/>
      <c r="P351" s="61"/>
      <c r="AH351" s="137"/>
      <c r="AI351" s="25"/>
      <c r="AJ351" s="25"/>
      <c r="AK351" s="25"/>
      <c r="AL351" s="25"/>
      <c r="AM351" s="25"/>
      <c r="AN351" s="25"/>
      <c r="AO351" s="25"/>
      <c r="AP351" s="25"/>
      <c r="AQ351" s="137"/>
      <c r="AZ351" s="137"/>
      <c r="BI351" s="137"/>
    </row>
    <row r="352" spans="8:61" ht="12">
      <c r="H352" s="60"/>
      <c r="I352" s="60"/>
      <c r="J352" s="60"/>
      <c r="K352" s="60"/>
      <c r="L352" s="60"/>
      <c r="M352" s="60"/>
      <c r="N352" s="60"/>
      <c r="O352" s="60"/>
      <c r="P352" s="61"/>
      <c r="AH352" s="137"/>
      <c r="AI352" s="25"/>
      <c r="AJ352" s="25"/>
      <c r="AK352" s="25"/>
      <c r="AL352" s="25"/>
      <c r="AM352" s="25"/>
      <c r="AN352" s="25"/>
      <c r="AO352" s="25"/>
      <c r="AP352" s="25"/>
      <c r="AQ352" s="137"/>
      <c r="AZ352" s="137"/>
      <c r="BI352" s="137"/>
    </row>
    <row r="353" spans="8:61" ht="12">
      <c r="H353" s="60"/>
      <c r="I353" s="60"/>
      <c r="J353" s="60"/>
      <c r="K353" s="60"/>
      <c r="L353" s="60"/>
      <c r="M353" s="60"/>
      <c r="N353" s="60"/>
      <c r="O353" s="60"/>
      <c r="P353" s="61"/>
      <c r="U353" s="145" t="s">
        <v>226</v>
      </c>
      <c r="AH353" s="137"/>
      <c r="AI353" s="25"/>
      <c r="AJ353" s="25"/>
      <c r="AK353" s="25"/>
      <c r="AL353" s="25"/>
      <c r="AM353" s="145" t="s">
        <v>237</v>
      </c>
      <c r="AN353" s="25"/>
      <c r="AO353" s="25"/>
      <c r="AP353" s="25"/>
      <c r="AQ353" s="137"/>
      <c r="AZ353" s="137"/>
      <c r="BE353" s="151" t="s">
        <v>248</v>
      </c>
      <c r="BI353" s="137"/>
    </row>
    <row r="354" spans="8:61" ht="12">
      <c r="H354" s="60"/>
      <c r="I354" s="60"/>
      <c r="J354" s="60"/>
      <c r="K354" s="60"/>
      <c r="L354" s="60"/>
      <c r="M354" s="60"/>
      <c r="N354" s="60"/>
      <c r="O354" s="60"/>
      <c r="P354" s="61"/>
      <c r="Q354" s="23" t="s">
        <v>126</v>
      </c>
      <c r="R354" s="23"/>
      <c r="S354" s="23"/>
      <c r="T354" s="23"/>
      <c r="U354" s="23"/>
      <c r="V354" s="23"/>
      <c r="W354" s="23"/>
      <c r="X354" s="23"/>
      <c r="Y354" s="136"/>
      <c r="Z354" s="23" t="s">
        <v>143</v>
      </c>
      <c r="AA354" s="23"/>
      <c r="AB354" s="23"/>
      <c r="AC354" s="23"/>
      <c r="AD354" s="23"/>
      <c r="AE354" s="23"/>
      <c r="AF354" s="23"/>
      <c r="AG354" s="23"/>
      <c r="AH354" s="136"/>
      <c r="AI354" s="23" t="s">
        <v>143</v>
      </c>
      <c r="AJ354" s="23"/>
      <c r="AK354" s="23"/>
      <c r="AL354" s="23"/>
      <c r="AM354" s="23"/>
      <c r="AN354" s="23"/>
      <c r="AO354" s="23"/>
      <c r="AP354" s="23"/>
      <c r="AQ354" s="136"/>
      <c r="AR354" s="59" t="s">
        <v>163</v>
      </c>
      <c r="AS354" s="59"/>
      <c r="AT354" s="59"/>
      <c r="AU354" s="59"/>
      <c r="AV354" s="59"/>
      <c r="AW354" s="59"/>
      <c r="AX354" s="59"/>
      <c r="AY354" s="59"/>
      <c r="AZ354" s="136"/>
      <c r="BA354" s="136" t="s">
        <v>163</v>
      </c>
      <c r="BB354" s="136"/>
      <c r="BI354" s="137"/>
    </row>
    <row r="355" spans="8:61" ht="12">
      <c r="H355" s="60"/>
      <c r="I355" s="60"/>
      <c r="J355" s="60"/>
      <c r="K355" s="60"/>
      <c r="L355" s="60"/>
      <c r="M355" s="60"/>
      <c r="N355" s="60"/>
      <c r="O355" s="60"/>
      <c r="P355" s="60"/>
      <c r="AH355" s="137"/>
      <c r="AI355" s="22" t="s">
        <v>220</v>
      </c>
      <c r="AJ355" s="25"/>
      <c r="AK355" s="25"/>
      <c r="AL355" s="25"/>
      <c r="AM355" s="25"/>
      <c r="AN355" s="25"/>
      <c r="AO355" s="25"/>
      <c r="AP355" s="25"/>
      <c r="AQ355" s="137"/>
      <c r="AR355" s="60"/>
      <c r="AS355" s="60"/>
      <c r="AT355" s="60"/>
      <c r="AU355" s="60"/>
      <c r="AV355" s="60"/>
      <c r="AW355" s="60"/>
      <c r="AX355" s="60"/>
      <c r="AY355" s="60"/>
      <c r="AZ355" s="137"/>
      <c r="BA355" s="139" t="s">
        <v>220</v>
      </c>
      <c r="BI355" s="137"/>
    </row>
    <row r="356" spans="8:61" ht="12">
      <c r="H356" s="24" t="s">
        <v>136</v>
      </c>
      <c r="I356" s="24"/>
      <c r="J356" s="24"/>
      <c r="K356" s="24"/>
      <c r="L356" s="24"/>
      <c r="M356" s="24"/>
      <c r="N356" s="24"/>
      <c r="O356" s="24"/>
      <c r="P356" s="24"/>
      <c r="Q356" s="25" t="s">
        <v>22</v>
      </c>
      <c r="Z356" s="25" t="s">
        <v>22</v>
      </c>
      <c r="AH356" s="137"/>
      <c r="AI356" s="25" t="s">
        <v>22</v>
      </c>
      <c r="AJ356" s="25"/>
      <c r="AK356" s="25"/>
      <c r="AL356" s="25"/>
      <c r="AM356" s="25"/>
      <c r="AN356" s="25"/>
      <c r="AO356" s="25"/>
      <c r="AP356" s="25"/>
      <c r="AQ356" s="137"/>
      <c r="AR356" s="60" t="s">
        <v>22</v>
      </c>
      <c r="AS356" s="60"/>
      <c r="AT356" s="60"/>
      <c r="AU356" s="60"/>
      <c r="AV356" s="60"/>
      <c r="AW356" s="60"/>
      <c r="AX356" s="60"/>
      <c r="AY356" s="60"/>
      <c r="AZ356" s="137"/>
      <c r="BA356" s="133" t="s">
        <v>22</v>
      </c>
      <c r="BI356" s="137"/>
    </row>
    <row r="357" spans="8:61" ht="12">
      <c r="H357" s="58"/>
      <c r="I357" s="58"/>
      <c r="J357" s="58"/>
      <c r="K357" s="58"/>
      <c r="L357" s="58"/>
      <c r="M357" s="58"/>
      <c r="N357" s="58"/>
      <c r="O357" s="58"/>
      <c r="P357" s="27"/>
      <c r="Q357" s="25" t="s">
        <v>114</v>
      </c>
      <c r="Z357" s="25" t="s">
        <v>114</v>
      </c>
      <c r="AH357" s="137"/>
      <c r="AI357" s="25" t="s">
        <v>114</v>
      </c>
      <c r="AJ357" s="25"/>
      <c r="AK357" s="25"/>
      <c r="AL357" s="25"/>
      <c r="AM357" s="25"/>
      <c r="AN357" s="25"/>
      <c r="AO357" s="25"/>
      <c r="AP357" s="25"/>
      <c r="AQ357" s="137"/>
      <c r="AR357" s="60" t="s">
        <v>114</v>
      </c>
      <c r="AS357" s="60"/>
      <c r="AT357" s="60"/>
      <c r="AU357" s="60"/>
      <c r="AV357" s="60"/>
      <c r="AW357" s="60"/>
      <c r="AX357" s="60"/>
      <c r="AY357" s="60"/>
      <c r="AZ357" s="137"/>
      <c r="BA357" s="133" t="s">
        <v>114</v>
      </c>
      <c r="BI357" s="137"/>
    </row>
    <row r="358" spans="8:61" ht="12">
      <c r="H358" s="58" t="s">
        <v>22</v>
      </c>
      <c r="I358" s="58"/>
      <c r="J358" s="58"/>
      <c r="K358" s="58"/>
      <c r="L358" s="58"/>
      <c r="M358" s="58"/>
      <c r="N358" s="58"/>
      <c r="O358" s="58"/>
      <c r="P358" s="27"/>
      <c r="Q358" s="25" t="s">
        <v>52</v>
      </c>
      <c r="Z358" s="25" t="s">
        <v>52</v>
      </c>
      <c r="AH358" s="137"/>
      <c r="AI358" s="25" t="s">
        <v>52</v>
      </c>
      <c r="AJ358" s="25"/>
      <c r="AK358" s="25"/>
      <c r="AL358" s="25"/>
      <c r="AM358" s="25"/>
      <c r="AN358" s="25"/>
      <c r="AO358" s="25"/>
      <c r="AP358" s="25"/>
      <c r="AQ358" s="137"/>
      <c r="AR358" s="60" t="s">
        <v>52</v>
      </c>
      <c r="AS358" s="60"/>
      <c r="AT358" s="60"/>
      <c r="AU358" s="60"/>
      <c r="AV358" s="60"/>
      <c r="AW358" s="60"/>
      <c r="AX358" s="60"/>
      <c r="AY358" s="60"/>
      <c r="AZ358" s="137"/>
      <c r="BA358" s="133" t="s">
        <v>52</v>
      </c>
      <c r="BI358" s="137"/>
    </row>
    <row r="359" spans="8:61" ht="12">
      <c r="H359" s="58" t="s">
        <v>114</v>
      </c>
      <c r="I359" s="58"/>
      <c r="J359" s="58"/>
      <c r="K359" s="58"/>
      <c r="L359" s="58"/>
      <c r="M359" s="58"/>
      <c r="N359" s="58"/>
      <c r="O359" s="58"/>
      <c r="P359" s="27"/>
      <c r="AH359" s="137"/>
      <c r="AI359" s="25"/>
      <c r="AJ359" s="25"/>
      <c r="AK359" s="25"/>
      <c r="AL359" s="25"/>
      <c r="AM359" s="25"/>
      <c r="AN359" s="25"/>
      <c r="AO359" s="25"/>
      <c r="AP359" s="25"/>
      <c r="AQ359" s="137"/>
      <c r="AR359" s="60"/>
      <c r="AS359" s="60"/>
      <c r="AT359" s="60"/>
      <c r="AU359" s="60"/>
      <c r="AV359" s="60"/>
      <c r="AW359" s="60"/>
      <c r="AX359" s="60"/>
      <c r="AY359" s="60"/>
      <c r="AZ359" s="137"/>
      <c r="BD359" s="143" t="s">
        <v>25</v>
      </c>
      <c r="BE359" s="143" t="s">
        <v>25</v>
      </c>
      <c r="BF359" s="143" t="s">
        <v>25</v>
      </c>
      <c r="BG359" s="143" t="s">
        <v>25</v>
      </c>
      <c r="BH359" s="143" t="s">
        <v>25</v>
      </c>
      <c r="BI359" s="138"/>
    </row>
    <row r="360" spans="8:61" ht="12">
      <c r="H360" s="58" t="s">
        <v>52</v>
      </c>
      <c r="I360" s="58"/>
      <c r="J360" s="58"/>
      <c r="K360" s="58"/>
      <c r="L360" s="58"/>
      <c r="M360" s="58"/>
      <c r="N360" s="58"/>
      <c r="O360" s="58"/>
      <c r="P360" s="27"/>
      <c r="T360" s="28" t="s">
        <v>25</v>
      </c>
      <c r="U360" s="28" t="s">
        <v>25</v>
      </c>
      <c r="V360" s="28" t="s">
        <v>25</v>
      </c>
      <c r="W360" s="28" t="s">
        <v>25</v>
      </c>
      <c r="X360" s="28" t="s">
        <v>25</v>
      </c>
      <c r="Y360" s="138"/>
      <c r="AC360" s="28" t="s">
        <v>25</v>
      </c>
      <c r="AD360" s="28" t="s">
        <v>25</v>
      </c>
      <c r="AE360" s="28" t="s">
        <v>25</v>
      </c>
      <c r="AF360" s="28" t="s">
        <v>25</v>
      </c>
      <c r="AG360" s="28" t="s">
        <v>25</v>
      </c>
      <c r="AH360" s="138"/>
      <c r="AI360" s="25"/>
      <c r="AJ360" s="25"/>
      <c r="AK360" s="25"/>
      <c r="AL360" s="28" t="s">
        <v>25</v>
      </c>
      <c r="AM360" s="28" t="s">
        <v>25</v>
      </c>
      <c r="AN360" s="28" t="s">
        <v>25</v>
      </c>
      <c r="AO360" s="28" t="s">
        <v>25</v>
      </c>
      <c r="AP360" s="28" t="s">
        <v>25</v>
      </c>
      <c r="AQ360" s="138"/>
      <c r="AR360" s="60"/>
      <c r="AS360" s="60"/>
      <c r="AT360" s="60"/>
      <c r="AU360" s="62" t="s">
        <v>25</v>
      </c>
      <c r="AV360" s="62" t="s">
        <v>25</v>
      </c>
      <c r="AW360" s="62" t="s">
        <v>25</v>
      </c>
      <c r="AX360" s="62" t="s">
        <v>25</v>
      </c>
      <c r="AY360" s="62" t="s">
        <v>25</v>
      </c>
      <c r="AZ360" s="138"/>
      <c r="BD360" s="143">
        <v>2006</v>
      </c>
      <c r="BE360" s="143">
        <v>2005</v>
      </c>
      <c r="BF360" s="143">
        <v>2004</v>
      </c>
      <c r="BG360" s="143">
        <v>2003</v>
      </c>
      <c r="BH360" s="143">
        <v>2002</v>
      </c>
      <c r="BI360" s="138" t="s">
        <v>117</v>
      </c>
    </row>
    <row r="361" spans="8:61" ht="12">
      <c r="H361" s="58"/>
      <c r="I361" s="58"/>
      <c r="J361" s="58"/>
      <c r="K361" s="58"/>
      <c r="L361" s="58"/>
      <c r="M361" s="58"/>
      <c r="N361" s="58"/>
      <c r="O361" s="58"/>
      <c r="P361" s="27"/>
      <c r="T361" s="28">
        <v>2006</v>
      </c>
      <c r="U361" s="28">
        <v>2005</v>
      </c>
      <c r="V361" s="28">
        <v>2004</v>
      </c>
      <c r="W361" s="28">
        <v>2003</v>
      </c>
      <c r="X361" s="28">
        <v>2002</v>
      </c>
      <c r="Y361" s="138" t="s">
        <v>117</v>
      </c>
      <c r="AC361" s="28">
        <v>2006</v>
      </c>
      <c r="AD361" s="28">
        <v>2005</v>
      </c>
      <c r="AE361" s="28">
        <v>2004</v>
      </c>
      <c r="AF361" s="28">
        <v>2003</v>
      </c>
      <c r="AG361" s="28">
        <v>2002</v>
      </c>
      <c r="AH361" s="138" t="s">
        <v>117</v>
      </c>
      <c r="AI361" s="25"/>
      <c r="AJ361" s="25"/>
      <c r="AK361" s="25"/>
      <c r="AL361" s="28">
        <v>2006</v>
      </c>
      <c r="AM361" s="28">
        <v>2005</v>
      </c>
      <c r="AN361" s="28">
        <v>2004</v>
      </c>
      <c r="AO361" s="28">
        <v>2003</v>
      </c>
      <c r="AP361" s="28">
        <v>2002</v>
      </c>
      <c r="AQ361" s="138" t="s">
        <v>117</v>
      </c>
      <c r="AR361" s="60"/>
      <c r="AS361" s="60"/>
      <c r="AT361" s="60"/>
      <c r="AU361" s="62">
        <v>2006</v>
      </c>
      <c r="AV361" s="62">
        <v>2005</v>
      </c>
      <c r="AW361" s="62">
        <v>2004</v>
      </c>
      <c r="AX361" s="62">
        <v>2003</v>
      </c>
      <c r="AY361" s="62">
        <v>2002</v>
      </c>
      <c r="AZ361" s="138" t="s">
        <v>117</v>
      </c>
      <c r="BD361" s="143" t="s">
        <v>71</v>
      </c>
      <c r="BE361" s="143" t="s">
        <v>71</v>
      </c>
      <c r="BF361" s="143" t="s">
        <v>71</v>
      </c>
      <c r="BG361" s="143" t="s">
        <v>71</v>
      </c>
      <c r="BH361" s="143" t="s">
        <v>71</v>
      </c>
      <c r="BI361" s="138" t="s">
        <v>71</v>
      </c>
    </row>
    <row r="362" spans="8:61" ht="12">
      <c r="H362" s="58"/>
      <c r="I362" s="58"/>
      <c r="J362" s="58"/>
      <c r="K362" s="55" t="s">
        <v>25</v>
      </c>
      <c r="L362" s="55" t="s">
        <v>25</v>
      </c>
      <c r="M362" s="55" t="s">
        <v>25</v>
      </c>
      <c r="N362" s="55" t="s">
        <v>25</v>
      </c>
      <c r="O362" s="55" t="s">
        <v>25</v>
      </c>
      <c r="P362" s="30"/>
      <c r="T362" s="28" t="s">
        <v>71</v>
      </c>
      <c r="U362" s="28" t="s">
        <v>71</v>
      </c>
      <c r="V362" s="28" t="s">
        <v>71</v>
      </c>
      <c r="W362" s="28" t="s">
        <v>71</v>
      </c>
      <c r="X362" s="28" t="s">
        <v>71</v>
      </c>
      <c r="Y362" s="138" t="s">
        <v>71</v>
      </c>
      <c r="AB362" s="22" t="s">
        <v>219</v>
      </c>
      <c r="AC362" s="28" t="s">
        <v>71</v>
      </c>
      <c r="AD362" s="28" t="s">
        <v>71</v>
      </c>
      <c r="AE362" s="28" t="s">
        <v>71</v>
      </c>
      <c r="AF362" s="28" t="s">
        <v>71</v>
      </c>
      <c r="AG362" s="28" t="s">
        <v>71</v>
      </c>
      <c r="AH362" s="138" t="s">
        <v>71</v>
      </c>
      <c r="AI362" s="25"/>
      <c r="AJ362" s="25"/>
      <c r="AK362" s="22" t="s">
        <v>219</v>
      </c>
      <c r="AL362" s="28" t="s">
        <v>71</v>
      </c>
      <c r="AM362" s="28" t="s">
        <v>71</v>
      </c>
      <c r="AN362" s="28" t="s">
        <v>71</v>
      </c>
      <c r="AO362" s="28" t="s">
        <v>71</v>
      </c>
      <c r="AP362" s="28" t="s">
        <v>71</v>
      </c>
      <c r="AQ362" s="138" t="s">
        <v>71</v>
      </c>
      <c r="AR362" s="60"/>
      <c r="AS362" s="60"/>
      <c r="AT362" s="60"/>
      <c r="AU362" s="62" t="s">
        <v>71</v>
      </c>
      <c r="AV362" s="62" t="s">
        <v>71</v>
      </c>
      <c r="AW362" s="62" t="s">
        <v>71</v>
      </c>
      <c r="AX362" s="62" t="s">
        <v>71</v>
      </c>
      <c r="AY362" s="62" t="s">
        <v>71</v>
      </c>
      <c r="AZ362" s="138" t="s">
        <v>71</v>
      </c>
      <c r="BC362" s="139" t="s">
        <v>218</v>
      </c>
      <c r="BD362" s="143" t="s">
        <v>38</v>
      </c>
      <c r="BE362" s="143" t="s">
        <v>38</v>
      </c>
      <c r="BF362" s="143" t="s">
        <v>38</v>
      </c>
      <c r="BG362" s="143" t="s">
        <v>38</v>
      </c>
      <c r="BH362" s="143" t="s">
        <v>38</v>
      </c>
      <c r="BI362" s="143" t="s">
        <v>38</v>
      </c>
    </row>
    <row r="363" spans="8:61" ht="12">
      <c r="H363" s="58"/>
      <c r="I363" s="58"/>
      <c r="J363" s="58"/>
      <c r="K363" s="55">
        <v>2006</v>
      </c>
      <c r="L363" s="55">
        <v>2005</v>
      </c>
      <c r="M363" s="55">
        <v>2004</v>
      </c>
      <c r="N363" s="55">
        <v>2003</v>
      </c>
      <c r="O363" s="55">
        <v>2002</v>
      </c>
      <c r="P363" s="30" t="s">
        <v>117</v>
      </c>
      <c r="S363" s="22" t="s">
        <v>219</v>
      </c>
      <c r="T363" s="28" t="s">
        <v>38</v>
      </c>
      <c r="U363" s="28" t="s">
        <v>38</v>
      </c>
      <c r="V363" s="28" t="s">
        <v>38</v>
      </c>
      <c r="W363" s="28" t="s">
        <v>38</v>
      </c>
      <c r="X363" s="28" t="s">
        <v>38</v>
      </c>
      <c r="Y363" s="143" t="s">
        <v>38</v>
      </c>
      <c r="AC363" s="28" t="s">
        <v>68</v>
      </c>
      <c r="AD363" s="28" t="s">
        <v>68</v>
      </c>
      <c r="AE363" s="28" t="s">
        <v>68</v>
      </c>
      <c r="AF363" s="28" t="s">
        <v>68</v>
      </c>
      <c r="AG363" s="28" t="s">
        <v>68</v>
      </c>
      <c r="AH363" s="138" t="s">
        <v>68</v>
      </c>
      <c r="AI363" s="25"/>
      <c r="AJ363" s="25"/>
      <c r="AK363" s="25"/>
      <c r="AL363" s="28" t="s">
        <v>38</v>
      </c>
      <c r="AM363" s="28" t="s">
        <v>38</v>
      </c>
      <c r="AN363" s="28" t="s">
        <v>38</v>
      </c>
      <c r="AO363" s="28" t="s">
        <v>38</v>
      </c>
      <c r="AP363" s="28" t="s">
        <v>38</v>
      </c>
      <c r="AQ363" s="143" t="s">
        <v>38</v>
      </c>
      <c r="AR363" s="60"/>
      <c r="AS363" s="60"/>
      <c r="AT363" s="64" t="s">
        <v>218</v>
      </c>
      <c r="AU363" s="62" t="s">
        <v>68</v>
      </c>
      <c r="AV363" s="62" t="s">
        <v>68</v>
      </c>
      <c r="AW363" s="62" t="s">
        <v>68</v>
      </c>
      <c r="AX363" s="62" t="s">
        <v>68</v>
      </c>
      <c r="AY363" s="62" t="s">
        <v>68</v>
      </c>
      <c r="AZ363" s="138" t="s">
        <v>68</v>
      </c>
      <c r="BA363" s="133" t="s">
        <v>26</v>
      </c>
      <c r="BC363" s="146">
        <f>BD363-BH363</f>
        <v>-332</v>
      </c>
      <c r="BD363" s="147">
        <f aca="true" t="shared" si="160" ref="BD363:BF367">2*AU364</f>
        <v>4752</v>
      </c>
      <c r="BE363" s="147">
        <f t="shared" si="160"/>
        <v>5472</v>
      </c>
      <c r="BF363" s="147">
        <f t="shared" si="160"/>
        <v>4128</v>
      </c>
      <c r="BG363" s="147">
        <f aca="true" t="shared" si="161" ref="BG363:BH367">2*AX364</f>
        <v>4514</v>
      </c>
      <c r="BH363" s="147">
        <f t="shared" si="161"/>
        <v>5084</v>
      </c>
      <c r="BI363" s="53">
        <f>AVERAGE(BD363:BH363)</f>
        <v>4790</v>
      </c>
    </row>
    <row r="364" spans="8:61" ht="12">
      <c r="H364" s="58"/>
      <c r="I364" s="58"/>
      <c r="J364" s="58"/>
      <c r="K364" s="55" t="s">
        <v>71</v>
      </c>
      <c r="L364" s="55" t="s">
        <v>71</v>
      </c>
      <c r="M364" s="55" t="s">
        <v>71</v>
      </c>
      <c r="N364" s="55" t="s">
        <v>71</v>
      </c>
      <c r="O364" s="55" t="s">
        <v>71</v>
      </c>
      <c r="P364" s="30" t="s">
        <v>71</v>
      </c>
      <c r="Q364" s="25" t="s">
        <v>26</v>
      </c>
      <c r="R364" s="22"/>
      <c r="S364" s="132">
        <f>T364-X364</f>
        <v>2104</v>
      </c>
      <c r="T364" s="42">
        <v>12304</v>
      </c>
      <c r="U364" s="42">
        <v>11962</v>
      </c>
      <c r="V364" s="42">
        <v>12820</v>
      </c>
      <c r="W364" s="42">
        <v>11624</v>
      </c>
      <c r="X364" s="42">
        <v>10200</v>
      </c>
      <c r="Y364" s="53">
        <f>AVERAGE(T364:X364)</f>
        <v>11782</v>
      </c>
      <c r="Z364" s="25" t="s">
        <v>26</v>
      </c>
      <c r="AA364" s="22"/>
      <c r="AB364" s="132">
        <f>AC364-AG364</f>
        <v>31</v>
      </c>
      <c r="AC364" s="42">
        <v>1325</v>
      </c>
      <c r="AD364" s="42">
        <v>1472</v>
      </c>
      <c r="AE364" s="42">
        <v>1476</v>
      </c>
      <c r="AF364" s="42">
        <v>1483</v>
      </c>
      <c r="AG364" s="42">
        <v>1294</v>
      </c>
      <c r="AH364" s="53">
        <f>AVERAGE(AC364:AG364)</f>
        <v>1410</v>
      </c>
      <c r="AI364" s="25" t="s">
        <v>26</v>
      </c>
      <c r="AJ364" s="22"/>
      <c r="AK364" s="132">
        <f>AL364-AP364</f>
        <v>62</v>
      </c>
      <c r="AL364" s="42">
        <f aca="true" t="shared" si="162" ref="AL364:AP368">2*AC364</f>
        <v>2650</v>
      </c>
      <c r="AM364" s="42">
        <f t="shared" si="162"/>
        <v>2944</v>
      </c>
      <c r="AN364" s="42">
        <f t="shared" si="162"/>
        <v>2952</v>
      </c>
      <c r="AO364" s="42">
        <f t="shared" si="162"/>
        <v>2966</v>
      </c>
      <c r="AP364" s="42">
        <f t="shared" si="162"/>
        <v>2588</v>
      </c>
      <c r="AQ364" s="53">
        <f>AVERAGE(AL364:AP364)</f>
        <v>2820</v>
      </c>
      <c r="AR364" s="60" t="s">
        <v>26</v>
      </c>
      <c r="AS364" s="64"/>
      <c r="AT364" s="132">
        <f>AU364-AY364</f>
        <v>-166</v>
      </c>
      <c r="AU364" s="65">
        <v>2376</v>
      </c>
      <c r="AV364" s="65">
        <v>2736</v>
      </c>
      <c r="AW364" s="65">
        <v>2064</v>
      </c>
      <c r="AX364" s="65">
        <v>2257</v>
      </c>
      <c r="AY364" s="65">
        <v>2542</v>
      </c>
      <c r="AZ364" s="53">
        <f>AVERAGE(AU364:AY364)</f>
        <v>2395</v>
      </c>
      <c r="BA364" s="133" t="s">
        <v>93</v>
      </c>
      <c r="BB364" s="139"/>
      <c r="BC364" s="146">
        <f>BD364-BH364</f>
        <v>722</v>
      </c>
      <c r="BD364" s="147">
        <f t="shared" si="160"/>
        <v>14426</v>
      </c>
      <c r="BE364" s="147">
        <f t="shared" si="160"/>
        <v>15200</v>
      </c>
      <c r="BF364" s="147">
        <f t="shared" si="160"/>
        <v>13156</v>
      </c>
      <c r="BG364" s="147">
        <f t="shared" si="161"/>
        <v>13472</v>
      </c>
      <c r="BH364" s="147">
        <f t="shared" si="161"/>
        <v>13704</v>
      </c>
      <c r="BI364" s="53">
        <f>AVERAGE(BD364:BH364)</f>
        <v>13991.6</v>
      </c>
    </row>
    <row r="365" spans="8:61" ht="12">
      <c r="H365" s="58"/>
      <c r="I365" s="58"/>
      <c r="J365" s="58"/>
      <c r="K365" s="55" t="s">
        <v>68</v>
      </c>
      <c r="L365" s="55" t="s">
        <v>68</v>
      </c>
      <c r="M365" s="55" t="s">
        <v>68</v>
      </c>
      <c r="N365" s="55" t="s">
        <v>68</v>
      </c>
      <c r="O365" s="55" t="s">
        <v>68</v>
      </c>
      <c r="P365" s="30" t="s">
        <v>68</v>
      </c>
      <c r="Q365" s="25" t="s">
        <v>93</v>
      </c>
      <c r="S365" s="132">
        <f>T365-X365</f>
        <v>3376</v>
      </c>
      <c r="T365" s="42">
        <v>30941</v>
      </c>
      <c r="U365" s="42">
        <v>31633</v>
      </c>
      <c r="V365" s="42">
        <v>31062</v>
      </c>
      <c r="W365" s="42">
        <v>29344</v>
      </c>
      <c r="X365" s="42">
        <v>27565</v>
      </c>
      <c r="Y365" s="53">
        <f>AVERAGE(T365:X365)</f>
        <v>30109</v>
      </c>
      <c r="Z365" s="25" t="s">
        <v>93</v>
      </c>
      <c r="AB365" s="132">
        <f>AC365-AG365</f>
        <v>1868</v>
      </c>
      <c r="AC365" s="42">
        <v>6907</v>
      </c>
      <c r="AD365" s="42">
        <v>6801</v>
      </c>
      <c r="AE365" s="42">
        <f>5135+AE364</f>
        <v>6611</v>
      </c>
      <c r="AF365" s="42">
        <f>6320+AF364</f>
        <v>7803</v>
      </c>
      <c r="AG365" s="42">
        <f>3745+AG364</f>
        <v>5039</v>
      </c>
      <c r="AH365" s="53">
        <f>AVERAGE(AC365:AG365)</f>
        <v>6632.2</v>
      </c>
      <c r="AI365" s="25" t="s">
        <v>93</v>
      </c>
      <c r="AJ365" s="25"/>
      <c r="AK365" s="132">
        <f>AL365-AP365</f>
        <v>3736</v>
      </c>
      <c r="AL365" s="42">
        <f t="shared" si="162"/>
        <v>13814</v>
      </c>
      <c r="AM365" s="42">
        <f t="shared" si="162"/>
        <v>13602</v>
      </c>
      <c r="AN365" s="42">
        <f t="shared" si="162"/>
        <v>13222</v>
      </c>
      <c r="AO365" s="42">
        <f t="shared" si="162"/>
        <v>15606</v>
      </c>
      <c r="AP365" s="42">
        <f t="shared" si="162"/>
        <v>10078</v>
      </c>
      <c r="AQ365" s="53">
        <f>AVERAGE(AL365:AP365)</f>
        <v>13264.4</v>
      </c>
      <c r="AR365" s="60" t="s">
        <v>93</v>
      </c>
      <c r="AS365" s="60"/>
      <c r="AT365" s="132">
        <f>AU365-AY365</f>
        <v>361</v>
      </c>
      <c r="AU365" s="65">
        <v>7213</v>
      </c>
      <c r="AV365" s="65">
        <v>7600</v>
      </c>
      <c r="AW365" s="65">
        <v>6578</v>
      </c>
      <c r="AX365" s="65">
        <v>6736</v>
      </c>
      <c r="AY365" s="65">
        <f>4310+AY364</f>
        <v>6852</v>
      </c>
      <c r="AZ365" s="53">
        <f>AVERAGE(AU365:AY365)</f>
        <v>6995.8</v>
      </c>
      <c r="BA365" s="133" t="s">
        <v>72</v>
      </c>
      <c r="BC365" s="146">
        <f>BD365-BH365</f>
        <v>654</v>
      </c>
      <c r="BD365" s="147">
        <f t="shared" si="160"/>
        <v>3380</v>
      </c>
      <c r="BE365" s="147">
        <f t="shared" si="160"/>
        <v>2734</v>
      </c>
      <c r="BF365" s="147">
        <f t="shared" si="160"/>
        <v>2160</v>
      </c>
      <c r="BG365" s="147">
        <f t="shared" si="161"/>
        <v>3186</v>
      </c>
      <c r="BH365" s="147">
        <f t="shared" si="161"/>
        <v>2726</v>
      </c>
      <c r="BI365" s="53">
        <f>AVERAGE(BD365:BH365)</f>
        <v>2837.2</v>
      </c>
    </row>
    <row r="366" spans="8:61" ht="12">
      <c r="H366" s="58" t="s">
        <v>26</v>
      </c>
      <c r="I366" s="101"/>
      <c r="J366" s="101"/>
      <c r="K366" s="102">
        <v>848</v>
      </c>
      <c r="L366" s="102">
        <v>679</v>
      </c>
      <c r="M366" s="102">
        <v>631</v>
      </c>
      <c r="N366" s="102">
        <v>637</v>
      </c>
      <c r="O366" s="102">
        <v>528</v>
      </c>
      <c r="P366" s="56">
        <f>AVERAGE(K366:O366)</f>
        <v>664.6</v>
      </c>
      <c r="Q366" s="25" t="s">
        <v>72</v>
      </c>
      <c r="S366" s="132">
        <f>T366-X366</f>
        <v>3450</v>
      </c>
      <c r="T366" s="42">
        <v>10135</v>
      </c>
      <c r="U366" s="42">
        <v>10430</v>
      </c>
      <c r="V366" s="42">
        <v>8739</v>
      </c>
      <c r="W366" s="42">
        <v>6753</v>
      </c>
      <c r="X366" s="42">
        <v>6685</v>
      </c>
      <c r="Y366" s="53">
        <f>AVERAGE(T366:X366)</f>
        <v>8548.4</v>
      </c>
      <c r="Z366" s="25" t="s">
        <v>72</v>
      </c>
      <c r="AB366" s="132">
        <f>AC366-AG366</f>
        <v>-219</v>
      </c>
      <c r="AC366" s="42">
        <v>1558</v>
      </c>
      <c r="AD366" s="42">
        <v>1574</v>
      </c>
      <c r="AE366" s="42">
        <v>1846</v>
      </c>
      <c r="AF366" s="42">
        <v>1551</v>
      </c>
      <c r="AG366" s="42">
        <v>1777</v>
      </c>
      <c r="AH366" s="53">
        <f>AVERAGE(AC366:AG366)</f>
        <v>1661.2</v>
      </c>
      <c r="AI366" s="25" t="s">
        <v>72</v>
      </c>
      <c r="AJ366" s="25"/>
      <c r="AK366" s="132">
        <f>AL366-AP366</f>
        <v>-438</v>
      </c>
      <c r="AL366" s="42">
        <f t="shared" si="162"/>
        <v>3116</v>
      </c>
      <c r="AM366" s="42">
        <f t="shared" si="162"/>
        <v>3148</v>
      </c>
      <c r="AN366" s="42">
        <f t="shared" si="162"/>
        <v>3692</v>
      </c>
      <c r="AO366" s="42">
        <f t="shared" si="162"/>
        <v>3102</v>
      </c>
      <c r="AP366" s="42">
        <f t="shared" si="162"/>
        <v>3554</v>
      </c>
      <c r="AQ366" s="53">
        <f>AVERAGE(AL366:AP366)</f>
        <v>3322.4</v>
      </c>
      <c r="AR366" s="60" t="s">
        <v>72</v>
      </c>
      <c r="AS366" s="60"/>
      <c r="AT366" s="132">
        <f>AU366-AY366</f>
        <v>327</v>
      </c>
      <c r="AU366" s="65">
        <v>1690</v>
      </c>
      <c r="AV366" s="65">
        <v>1367</v>
      </c>
      <c r="AW366" s="65">
        <v>1080</v>
      </c>
      <c r="AX366" s="65">
        <v>1593</v>
      </c>
      <c r="AY366" s="65">
        <v>1363</v>
      </c>
      <c r="AZ366" s="53">
        <f>AVERAGE(AU366:AY366)</f>
        <v>1418.6</v>
      </c>
      <c r="BA366" s="133" t="s">
        <v>35</v>
      </c>
      <c r="BC366" s="146">
        <f>BD366-BH366</f>
        <v>494</v>
      </c>
      <c r="BD366" s="147">
        <f t="shared" si="160"/>
        <v>7138</v>
      </c>
      <c r="BE366" s="147">
        <f t="shared" si="160"/>
        <v>7734</v>
      </c>
      <c r="BF366" s="147">
        <f t="shared" si="160"/>
        <v>7128</v>
      </c>
      <c r="BG366" s="147">
        <f t="shared" si="161"/>
        <v>7150</v>
      </c>
      <c r="BH366" s="147">
        <f t="shared" si="161"/>
        <v>6644</v>
      </c>
      <c r="BI366" s="53">
        <f>AVERAGE(BD366:BH366)</f>
        <v>7158.8</v>
      </c>
    </row>
    <row r="367" spans="8:61" ht="12">
      <c r="H367" s="58" t="s">
        <v>93</v>
      </c>
      <c r="I367" s="58"/>
      <c r="J367" s="58"/>
      <c r="K367" s="102">
        <f>2885+K366</f>
        <v>3733</v>
      </c>
      <c r="L367" s="102">
        <f>1863+L366</f>
        <v>2542</v>
      </c>
      <c r="M367" s="102">
        <f>1773+M366</f>
        <v>2404</v>
      </c>
      <c r="N367" s="102">
        <f>1873+N366</f>
        <v>2510</v>
      </c>
      <c r="O367" s="102">
        <v>2201</v>
      </c>
      <c r="P367" s="56">
        <f>AVERAGE(K367:O367)</f>
        <v>2678</v>
      </c>
      <c r="Q367" s="25" t="s">
        <v>35</v>
      </c>
      <c r="S367" s="132">
        <f>T367-X367</f>
        <v>2581</v>
      </c>
      <c r="T367" s="42">
        <f>30941-T368</f>
        <v>21221</v>
      </c>
      <c r="U367" s="42">
        <f>31633-U368</f>
        <v>20871</v>
      </c>
      <c r="V367" s="42">
        <f>31062-V368</f>
        <v>19810</v>
      </c>
      <c r="W367" s="42">
        <f>29344-W368</f>
        <v>18615</v>
      </c>
      <c r="X367" s="42">
        <f>27565-X368</f>
        <v>18640</v>
      </c>
      <c r="Y367" s="53">
        <f>AVERAGE(T367:X367)</f>
        <v>19831.4</v>
      </c>
      <c r="Z367" s="25" t="s">
        <v>35</v>
      </c>
      <c r="AB367" s="132">
        <f>AC367-AG367</f>
        <v>638</v>
      </c>
      <c r="AC367" s="42">
        <v>3555</v>
      </c>
      <c r="AD367" s="42">
        <v>3755</v>
      </c>
      <c r="AE367" s="42">
        <f>1679+91+AE366</f>
        <v>3616</v>
      </c>
      <c r="AF367" s="42">
        <f>1856+95+AF366</f>
        <v>3502</v>
      </c>
      <c r="AG367" s="42">
        <f>997+143+AG366</f>
        <v>2917</v>
      </c>
      <c r="AH367" s="53">
        <f>AVERAGE(AC367:AG367)</f>
        <v>3469</v>
      </c>
      <c r="AI367" s="25" t="s">
        <v>35</v>
      </c>
      <c r="AJ367" s="25"/>
      <c r="AK367" s="132">
        <f>AL367-AP367</f>
        <v>1276</v>
      </c>
      <c r="AL367" s="42">
        <f t="shared" si="162"/>
        <v>7110</v>
      </c>
      <c r="AM367" s="42">
        <f t="shared" si="162"/>
        <v>7510</v>
      </c>
      <c r="AN367" s="42">
        <f t="shared" si="162"/>
        <v>7232</v>
      </c>
      <c r="AO367" s="42">
        <f t="shared" si="162"/>
        <v>7004</v>
      </c>
      <c r="AP367" s="42">
        <f t="shared" si="162"/>
        <v>5834</v>
      </c>
      <c r="AQ367" s="53">
        <f>AVERAGE(AL367:AP367)</f>
        <v>6938</v>
      </c>
      <c r="AR367" s="60" t="s">
        <v>35</v>
      </c>
      <c r="AS367" s="60"/>
      <c r="AT367" s="132">
        <f>AU367-AY367</f>
        <v>247</v>
      </c>
      <c r="AU367" s="65">
        <v>3569</v>
      </c>
      <c r="AV367" s="65">
        <v>3867</v>
      </c>
      <c r="AW367" s="65">
        <v>3564</v>
      </c>
      <c r="AX367" s="65">
        <v>3575</v>
      </c>
      <c r="AY367" s="65">
        <f>1794+165+AY366</f>
        <v>3322</v>
      </c>
      <c r="AZ367" s="53">
        <f>AVERAGE(AU367:AY367)</f>
        <v>3579.4</v>
      </c>
      <c r="BA367" s="133" t="s">
        <v>100</v>
      </c>
      <c r="BC367" s="146">
        <f>BD367-BH367</f>
        <v>228</v>
      </c>
      <c r="BD367" s="147">
        <f t="shared" si="160"/>
        <v>7288</v>
      </c>
      <c r="BE367" s="147">
        <f t="shared" si="160"/>
        <v>7466</v>
      </c>
      <c r="BF367" s="147">
        <f t="shared" si="160"/>
        <v>6028</v>
      </c>
      <c r="BG367" s="147">
        <f t="shared" si="161"/>
        <v>6322</v>
      </c>
      <c r="BH367" s="147">
        <f t="shared" si="161"/>
        <v>7060</v>
      </c>
      <c r="BI367" s="53">
        <f>AVERAGE(BD367:BH367)</f>
        <v>6832.8</v>
      </c>
    </row>
    <row r="368" spans="8:61" ht="12">
      <c r="H368" s="58" t="s">
        <v>72</v>
      </c>
      <c r="I368" s="58"/>
      <c r="J368" s="58"/>
      <c r="K368" s="102">
        <v>718</v>
      </c>
      <c r="L368" s="102">
        <v>378</v>
      </c>
      <c r="M368" s="102">
        <v>359</v>
      </c>
      <c r="N368" s="102">
        <v>349</v>
      </c>
      <c r="O368" s="102">
        <v>328</v>
      </c>
      <c r="P368" s="56">
        <f>AVERAGE(K368:O368)</f>
        <v>426.4</v>
      </c>
      <c r="Q368" s="25" t="s">
        <v>100</v>
      </c>
      <c r="S368" s="132">
        <f>T368-X368</f>
        <v>795</v>
      </c>
      <c r="T368" s="42">
        <v>9720</v>
      </c>
      <c r="U368" s="42">
        <v>10762</v>
      </c>
      <c r="V368" s="42">
        <v>11252</v>
      </c>
      <c r="W368" s="42">
        <v>10729</v>
      </c>
      <c r="X368" s="42">
        <v>8925</v>
      </c>
      <c r="Y368" s="53">
        <f>AVERAGE(T368:X368)</f>
        <v>10277.6</v>
      </c>
      <c r="Z368" s="25" t="s">
        <v>100</v>
      </c>
      <c r="AB368" s="132">
        <f>AC368-AG368</f>
        <v>1381</v>
      </c>
      <c r="AC368" s="42">
        <v>3352</v>
      </c>
      <c r="AD368" s="42">
        <v>3046</v>
      </c>
      <c r="AE368" s="42">
        <v>2733</v>
      </c>
      <c r="AF368" s="42">
        <v>2882</v>
      </c>
      <c r="AG368" s="42">
        <v>1971</v>
      </c>
      <c r="AH368" s="53">
        <f>AVERAGE(AC368:AG368)</f>
        <v>2796.8</v>
      </c>
      <c r="AI368" s="25" t="s">
        <v>100</v>
      </c>
      <c r="AJ368" s="25"/>
      <c r="AK368" s="132">
        <f>AL368-AP368</f>
        <v>2762</v>
      </c>
      <c r="AL368" s="42">
        <f t="shared" si="162"/>
        <v>6704</v>
      </c>
      <c r="AM368" s="42">
        <f t="shared" si="162"/>
        <v>6092</v>
      </c>
      <c r="AN368" s="42">
        <f t="shared" si="162"/>
        <v>5466</v>
      </c>
      <c r="AO368" s="42">
        <f t="shared" si="162"/>
        <v>5764</v>
      </c>
      <c r="AP368" s="42">
        <f t="shared" si="162"/>
        <v>3942</v>
      </c>
      <c r="AQ368" s="53">
        <f>AVERAGE(AL368:AP368)</f>
        <v>5593.6</v>
      </c>
      <c r="AR368" s="60" t="s">
        <v>100</v>
      </c>
      <c r="AS368" s="60"/>
      <c r="AT368" s="132">
        <f>AU368-AY368</f>
        <v>114</v>
      </c>
      <c r="AU368" s="65">
        <v>3644</v>
      </c>
      <c r="AV368" s="65">
        <v>3733</v>
      </c>
      <c r="AW368" s="65">
        <v>3014</v>
      </c>
      <c r="AX368" s="65">
        <v>3161</v>
      </c>
      <c r="AY368" s="65">
        <v>3530</v>
      </c>
      <c r="AZ368" s="53">
        <f>AVERAGE(AU368:AY368)</f>
        <v>3416.4</v>
      </c>
      <c r="BC368" s="139"/>
      <c r="BD368" s="147"/>
      <c r="BE368" s="147"/>
      <c r="BF368" s="147"/>
      <c r="BG368" s="147"/>
      <c r="BH368" s="147"/>
      <c r="BI368" s="53"/>
    </row>
    <row r="369" spans="8:61" ht="12">
      <c r="H369" s="58" t="s">
        <v>35</v>
      </c>
      <c r="I369" s="58"/>
      <c r="J369" s="58"/>
      <c r="K369" s="102">
        <f>1908+K368</f>
        <v>2626</v>
      </c>
      <c r="L369" s="102">
        <f>1239+L368</f>
        <v>1617</v>
      </c>
      <c r="M369" s="102">
        <f>1156+M368</f>
        <v>1515</v>
      </c>
      <c r="N369" s="102">
        <f>2286+N368</f>
        <v>2635</v>
      </c>
      <c r="O369" s="102">
        <f>2001+O368</f>
        <v>2329</v>
      </c>
      <c r="P369" s="56">
        <f>AVERAGE(K369:O369)</f>
        <v>2144.4</v>
      </c>
      <c r="Q369" s="22"/>
      <c r="R369" s="22"/>
      <c r="S369" s="22"/>
      <c r="T369" s="42"/>
      <c r="U369" s="42"/>
      <c r="V369" s="42"/>
      <c r="W369" s="42"/>
      <c r="X369" s="42"/>
      <c r="Y369" s="53"/>
      <c r="Z369" s="22"/>
      <c r="AA369" s="22"/>
      <c r="AB369" s="22"/>
      <c r="AC369" s="42"/>
      <c r="AD369" s="42"/>
      <c r="AE369" s="42"/>
      <c r="AF369" s="42"/>
      <c r="AG369" s="42"/>
      <c r="AH369" s="53"/>
      <c r="AI369" s="22"/>
      <c r="AJ369" s="22"/>
      <c r="AK369" s="22"/>
      <c r="AL369" s="42"/>
      <c r="AM369" s="42"/>
      <c r="AN369" s="42"/>
      <c r="AO369" s="42"/>
      <c r="AP369" s="42"/>
      <c r="AQ369" s="53"/>
      <c r="AR369" s="64"/>
      <c r="AS369" s="64"/>
      <c r="AT369" s="64"/>
      <c r="AU369" s="65"/>
      <c r="AV369" s="65"/>
      <c r="AW369" s="65"/>
      <c r="AX369" s="65"/>
      <c r="AY369" s="65"/>
      <c r="AZ369" s="53"/>
      <c r="BA369" s="133" t="s">
        <v>73</v>
      </c>
      <c r="BB369" s="139"/>
      <c r="BC369" s="146">
        <f aca="true" t="shared" si="163" ref="BC369:BC374">BD369-BH369</f>
        <v>-366</v>
      </c>
      <c r="BD369" s="147">
        <f aca="true" t="shared" si="164" ref="BD369:BF374">2*AU370</f>
        <v>8274</v>
      </c>
      <c r="BE369" s="147">
        <f t="shared" si="164"/>
        <v>7616</v>
      </c>
      <c r="BF369" s="147">
        <f t="shared" si="164"/>
        <v>7392</v>
      </c>
      <c r="BG369" s="147">
        <f aca="true" t="shared" si="165" ref="BG369:BG374">2*AX370</f>
        <v>7700</v>
      </c>
      <c r="BH369" s="147">
        <f aca="true" t="shared" si="166" ref="BH369:BH374">2*AY370</f>
        <v>8640</v>
      </c>
      <c r="BI369" s="53">
        <f aca="true" t="shared" si="167" ref="BI369:BI374">AVERAGE(BD369:BH369)</f>
        <v>7924.4</v>
      </c>
    </row>
    <row r="370" spans="8:61" ht="12">
      <c r="H370" s="58" t="s">
        <v>100</v>
      </c>
      <c r="I370" s="58"/>
      <c r="J370" s="58"/>
      <c r="K370" s="102">
        <v>1106</v>
      </c>
      <c r="L370" s="102">
        <v>925</v>
      </c>
      <c r="M370" s="102">
        <v>890</v>
      </c>
      <c r="N370" s="102">
        <v>-124</v>
      </c>
      <c r="O370" s="102">
        <v>-50</v>
      </c>
      <c r="P370" s="56">
        <f>AVERAGE(K370:O370)</f>
        <v>549.4</v>
      </c>
      <c r="Q370" s="25" t="s">
        <v>73</v>
      </c>
      <c r="S370" s="132">
        <f aca="true" t="shared" si="168" ref="S370:S375">T370-X370</f>
        <v>9093</v>
      </c>
      <c r="T370" s="42">
        <v>31367</v>
      </c>
      <c r="U370" s="42">
        <v>27652</v>
      </c>
      <c r="V370" s="42">
        <v>25593</v>
      </c>
      <c r="W370" s="42">
        <v>23103</v>
      </c>
      <c r="X370" s="42">
        <v>22274</v>
      </c>
      <c r="Y370" s="53">
        <f aca="true" t="shared" si="169" ref="Y370:Y375">AVERAGE(T370:X370)</f>
        <v>25997.8</v>
      </c>
      <c r="Z370" s="25" t="s">
        <v>73</v>
      </c>
      <c r="AB370" s="132">
        <f aca="true" t="shared" si="170" ref="AB370:AB375">AC370-AG370</f>
        <v>-790</v>
      </c>
      <c r="AC370" s="42">
        <v>3328</v>
      </c>
      <c r="AD370" s="42">
        <v>3260</v>
      </c>
      <c r="AE370" s="42">
        <v>4432</v>
      </c>
      <c r="AF370" s="42">
        <f>3036+558</f>
        <v>3594</v>
      </c>
      <c r="AG370" s="42">
        <v>4118</v>
      </c>
      <c r="AH370" s="53">
        <f aca="true" t="shared" si="171" ref="AH370:AH375">AVERAGE(AC370:AG370)</f>
        <v>3746.4</v>
      </c>
      <c r="AI370" s="25" t="s">
        <v>73</v>
      </c>
      <c r="AJ370" s="25"/>
      <c r="AK370" s="132">
        <f aca="true" t="shared" si="172" ref="AK370:AK375">AL370-AP370</f>
        <v>-1580</v>
      </c>
      <c r="AL370" s="42">
        <f aca="true" t="shared" si="173" ref="AL370:AP375">2*AC370</f>
        <v>6656</v>
      </c>
      <c r="AM370" s="42">
        <f t="shared" si="173"/>
        <v>6520</v>
      </c>
      <c r="AN370" s="42">
        <f t="shared" si="173"/>
        <v>8864</v>
      </c>
      <c r="AO370" s="42">
        <f t="shared" si="173"/>
        <v>7188</v>
      </c>
      <c r="AP370" s="42">
        <f t="shared" si="173"/>
        <v>8236</v>
      </c>
      <c r="AQ370" s="53">
        <f aca="true" t="shared" si="174" ref="AQ370:AQ375">AVERAGE(AL370:AP370)</f>
        <v>7492.8</v>
      </c>
      <c r="AR370" s="60" t="s">
        <v>73</v>
      </c>
      <c r="AS370" s="60"/>
      <c r="AT370" s="132">
        <f aca="true" t="shared" si="175" ref="AT370:AT375">AU370-AY370</f>
        <v>-183</v>
      </c>
      <c r="AU370" s="65">
        <v>4137</v>
      </c>
      <c r="AV370" s="65">
        <v>3808</v>
      </c>
      <c r="AW370" s="65">
        <v>3696</v>
      </c>
      <c r="AX370" s="65">
        <v>3850</v>
      </c>
      <c r="AY370" s="65">
        <v>4320</v>
      </c>
      <c r="AZ370" s="53">
        <f aca="true" t="shared" si="176" ref="AZ370:AZ375">AVERAGE(AU370:AY370)</f>
        <v>3962.2</v>
      </c>
      <c r="BA370" s="133" t="s">
        <v>74</v>
      </c>
      <c r="BC370" s="146">
        <f t="shared" si="163"/>
        <v>-4520</v>
      </c>
      <c r="BD370" s="147">
        <f t="shared" si="164"/>
        <v>3834</v>
      </c>
      <c r="BE370" s="147">
        <f t="shared" si="164"/>
        <v>3574</v>
      </c>
      <c r="BF370" s="147">
        <f t="shared" si="164"/>
        <v>3578</v>
      </c>
      <c r="BG370" s="147">
        <f t="shared" si="165"/>
        <v>3692</v>
      </c>
      <c r="BH370" s="147">
        <f t="shared" si="166"/>
        <v>8354</v>
      </c>
      <c r="BI370" s="53">
        <f t="shared" si="167"/>
        <v>4606.4</v>
      </c>
    </row>
    <row r="371" spans="8:61" ht="12">
      <c r="H371" s="101"/>
      <c r="I371" s="101"/>
      <c r="J371" s="101"/>
      <c r="K371" s="102"/>
      <c r="L371" s="102"/>
      <c r="M371" s="102"/>
      <c r="N371" s="102"/>
      <c r="O371" s="102"/>
      <c r="P371" s="56"/>
      <c r="Q371" s="25" t="s">
        <v>74</v>
      </c>
      <c r="S371" s="132">
        <f t="shared" si="168"/>
        <v>6481</v>
      </c>
      <c r="T371" s="42">
        <v>24096</v>
      </c>
      <c r="U371" s="42">
        <v>21524</v>
      </c>
      <c r="V371" s="42">
        <v>20752</v>
      </c>
      <c r="W371" s="42">
        <f>14753+3482</f>
        <v>18235</v>
      </c>
      <c r="X371" s="42">
        <f>14168+3447</f>
        <v>17615</v>
      </c>
      <c r="Y371" s="53">
        <f t="shared" si="169"/>
        <v>20444.4</v>
      </c>
      <c r="Z371" s="25" t="s">
        <v>74</v>
      </c>
      <c r="AB371" s="132">
        <f t="shared" si="170"/>
        <v>-598</v>
      </c>
      <c r="AC371" s="42">
        <v>3062</v>
      </c>
      <c r="AD371" s="42">
        <v>2960</v>
      </c>
      <c r="AE371" s="42">
        <v>4275</v>
      </c>
      <c r="AF371" s="42">
        <v>3362</v>
      </c>
      <c r="AG371" s="42">
        <v>3660</v>
      </c>
      <c r="AH371" s="53">
        <f t="shared" si="171"/>
        <v>3463.8</v>
      </c>
      <c r="AI371" s="25" t="s">
        <v>74</v>
      </c>
      <c r="AJ371" s="25"/>
      <c r="AK371" s="132">
        <f t="shared" si="172"/>
        <v>-1196</v>
      </c>
      <c r="AL371" s="42">
        <f t="shared" si="173"/>
        <v>6124</v>
      </c>
      <c r="AM371" s="42">
        <f t="shared" si="173"/>
        <v>5920</v>
      </c>
      <c r="AN371" s="42">
        <f t="shared" si="173"/>
        <v>8550</v>
      </c>
      <c r="AO371" s="42">
        <f t="shared" si="173"/>
        <v>6724</v>
      </c>
      <c r="AP371" s="42">
        <f t="shared" si="173"/>
        <v>7320</v>
      </c>
      <c r="AQ371" s="53">
        <f t="shared" si="174"/>
        <v>6927.6</v>
      </c>
      <c r="AR371" s="60" t="s">
        <v>74</v>
      </c>
      <c r="AS371" s="60"/>
      <c r="AT371" s="132">
        <f t="shared" si="175"/>
        <v>-2260</v>
      </c>
      <c r="AU371" s="65">
        <v>1917</v>
      </c>
      <c r="AV371" s="65">
        <v>1787</v>
      </c>
      <c r="AW371" s="65">
        <v>1789</v>
      </c>
      <c r="AX371" s="65">
        <v>1846</v>
      </c>
      <c r="AY371" s="65">
        <f>AY370-AY372</f>
        <v>4177</v>
      </c>
      <c r="AZ371" s="53">
        <f t="shared" si="176"/>
        <v>2303.2</v>
      </c>
      <c r="BA371" s="133" t="s">
        <v>116</v>
      </c>
      <c r="BC371" s="146">
        <f t="shared" si="163"/>
        <v>4154</v>
      </c>
      <c r="BD371" s="147">
        <f t="shared" si="164"/>
        <v>4440</v>
      </c>
      <c r="BE371" s="147">
        <f t="shared" si="164"/>
        <v>4042</v>
      </c>
      <c r="BF371" s="147">
        <f t="shared" si="164"/>
        <v>3814</v>
      </c>
      <c r="BG371" s="147">
        <f t="shared" si="165"/>
        <v>4008</v>
      </c>
      <c r="BH371" s="147">
        <f t="shared" si="166"/>
        <v>286</v>
      </c>
      <c r="BI371" s="53">
        <f t="shared" si="167"/>
        <v>3318</v>
      </c>
    </row>
    <row r="372" spans="8:61" ht="12">
      <c r="H372" s="58" t="s">
        <v>73</v>
      </c>
      <c r="I372" s="58"/>
      <c r="J372" s="58"/>
      <c r="K372" s="102">
        <v>1621.3</v>
      </c>
      <c r="L372" s="102">
        <v>1285</v>
      </c>
      <c r="M372" s="102">
        <v>1187</v>
      </c>
      <c r="N372" s="102">
        <v>1114</v>
      </c>
      <c r="O372" s="102">
        <v>697</v>
      </c>
      <c r="P372" s="56">
        <f aca="true" t="shared" si="177" ref="P372:P377">AVERAGE(K372:O372)</f>
        <v>1180.8600000000001</v>
      </c>
      <c r="Q372" s="25" t="s">
        <v>116</v>
      </c>
      <c r="S372" s="132">
        <f t="shared" si="168"/>
        <v>2612</v>
      </c>
      <c r="T372" s="42">
        <f>T370-T371</f>
        <v>7271</v>
      </c>
      <c r="U372" s="42">
        <f>U370-U371</f>
        <v>6128</v>
      </c>
      <c r="V372" s="42">
        <f>V370-V371</f>
        <v>4841</v>
      </c>
      <c r="W372" s="42">
        <f>W370-W371</f>
        <v>4868</v>
      </c>
      <c r="X372" s="42">
        <f>X370-X371</f>
        <v>4659</v>
      </c>
      <c r="Y372" s="53">
        <f t="shared" si="169"/>
        <v>5553.4</v>
      </c>
      <c r="Z372" s="25" t="s">
        <v>116</v>
      </c>
      <c r="AB372" s="132">
        <f t="shared" si="170"/>
        <v>-192</v>
      </c>
      <c r="AC372" s="42">
        <f>AC370-AC371</f>
        <v>266</v>
      </c>
      <c r="AD372" s="42">
        <f>AD370-AD371</f>
        <v>300</v>
      </c>
      <c r="AE372" s="42">
        <f>AE370-AE371</f>
        <v>157</v>
      </c>
      <c r="AF372" s="42">
        <f>AF370-AF371</f>
        <v>232</v>
      </c>
      <c r="AG372" s="42">
        <f>AG370-AG371</f>
        <v>458</v>
      </c>
      <c r="AH372" s="53">
        <f t="shared" si="171"/>
        <v>282.6</v>
      </c>
      <c r="AI372" s="25" t="s">
        <v>116</v>
      </c>
      <c r="AJ372" s="25"/>
      <c r="AK372" s="132">
        <f t="shared" si="172"/>
        <v>-384</v>
      </c>
      <c r="AL372" s="42">
        <f t="shared" si="173"/>
        <v>532</v>
      </c>
      <c r="AM372" s="42">
        <f t="shared" si="173"/>
        <v>600</v>
      </c>
      <c r="AN372" s="42">
        <f t="shared" si="173"/>
        <v>314</v>
      </c>
      <c r="AO372" s="42">
        <f t="shared" si="173"/>
        <v>464</v>
      </c>
      <c r="AP372" s="42">
        <f t="shared" si="173"/>
        <v>916</v>
      </c>
      <c r="AQ372" s="53">
        <f t="shared" si="174"/>
        <v>565.2</v>
      </c>
      <c r="AR372" s="60" t="s">
        <v>116</v>
      </c>
      <c r="AS372" s="60"/>
      <c r="AT372" s="132">
        <f t="shared" si="175"/>
        <v>2077</v>
      </c>
      <c r="AU372" s="65">
        <f>AU370-AU371</f>
        <v>2220</v>
      </c>
      <c r="AV372" s="65">
        <f>AV370-AV371</f>
        <v>2021</v>
      </c>
      <c r="AW372" s="65">
        <f>AW370-AW371</f>
        <v>1907</v>
      </c>
      <c r="AX372" s="65">
        <f>AX370-AX371</f>
        <v>2004</v>
      </c>
      <c r="AY372" s="65">
        <v>143</v>
      </c>
      <c r="AZ372" s="53">
        <f t="shared" si="176"/>
        <v>1659</v>
      </c>
      <c r="BA372" s="133" t="s">
        <v>82</v>
      </c>
      <c r="BC372" s="146">
        <f t="shared" si="163"/>
        <v>-162</v>
      </c>
      <c r="BD372" s="147">
        <f t="shared" si="164"/>
        <v>212</v>
      </c>
      <c r="BE372" s="147">
        <f t="shared" si="164"/>
        <v>202</v>
      </c>
      <c r="BF372" s="147">
        <f t="shared" si="164"/>
        <v>196</v>
      </c>
      <c r="BG372" s="147">
        <f t="shared" si="165"/>
        <v>174</v>
      </c>
      <c r="BH372" s="147">
        <f t="shared" si="166"/>
        <v>374</v>
      </c>
      <c r="BI372" s="53">
        <f t="shared" si="167"/>
        <v>231.6</v>
      </c>
    </row>
    <row r="373" spans="8:61" ht="12">
      <c r="H373" s="58" t="s">
        <v>74</v>
      </c>
      <c r="I373" s="58"/>
      <c r="J373" s="58"/>
      <c r="K373" s="102">
        <v>751</v>
      </c>
      <c r="L373" s="102">
        <v>592</v>
      </c>
      <c r="M373" s="102">
        <v>553</v>
      </c>
      <c r="N373" s="102">
        <v>510</v>
      </c>
      <c r="O373" s="102">
        <v>316</v>
      </c>
      <c r="P373" s="56">
        <f t="shared" si="177"/>
        <v>544.4</v>
      </c>
      <c r="Q373" s="25" t="s">
        <v>82</v>
      </c>
      <c r="S373" s="132">
        <f t="shared" si="168"/>
        <v>30</v>
      </c>
      <c r="T373" s="42">
        <v>374</v>
      </c>
      <c r="U373" s="42">
        <v>356</v>
      </c>
      <c r="V373" s="42">
        <v>331</v>
      </c>
      <c r="W373" s="42">
        <v>335</v>
      </c>
      <c r="X373" s="42">
        <v>344</v>
      </c>
      <c r="Y373" s="53">
        <f t="shared" si="169"/>
        <v>348</v>
      </c>
      <c r="Z373" s="25" t="s">
        <v>82</v>
      </c>
      <c r="AB373" s="132">
        <f t="shared" si="170"/>
        <v>10</v>
      </c>
      <c r="AC373" s="42">
        <v>109</v>
      </c>
      <c r="AD373" s="42">
        <v>100</v>
      </c>
      <c r="AE373" s="42">
        <v>103</v>
      </c>
      <c r="AF373" s="42">
        <v>138</v>
      </c>
      <c r="AG373" s="42">
        <v>99</v>
      </c>
      <c r="AH373" s="53">
        <f t="shared" si="171"/>
        <v>109.8</v>
      </c>
      <c r="AI373" s="25" t="s">
        <v>82</v>
      </c>
      <c r="AJ373" s="25"/>
      <c r="AK373" s="132">
        <f t="shared" si="172"/>
        <v>20</v>
      </c>
      <c r="AL373" s="42">
        <f t="shared" si="173"/>
        <v>218</v>
      </c>
      <c r="AM373" s="42">
        <f t="shared" si="173"/>
        <v>200</v>
      </c>
      <c r="AN373" s="42">
        <f t="shared" si="173"/>
        <v>206</v>
      </c>
      <c r="AO373" s="42">
        <f t="shared" si="173"/>
        <v>276</v>
      </c>
      <c r="AP373" s="42">
        <f t="shared" si="173"/>
        <v>198</v>
      </c>
      <c r="AQ373" s="53">
        <f t="shared" si="174"/>
        <v>219.6</v>
      </c>
      <c r="AR373" s="60" t="s">
        <v>82</v>
      </c>
      <c r="AS373" s="60"/>
      <c r="AT373" s="132">
        <f t="shared" si="175"/>
        <v>-81</v>
      </c>
      <c r="AU373" s="65">
        <v>106</v>
      </c>
      <c r="AV373" s="65">
        <v>101</v>
      </c>
      <c r="AW373" s="65">
        <v>98</v>
      </c>
      <c r="AX373" s="65">
        <v>87</v>
      </c>
      <c r="AY373" s="65">
        <v>187</v>
      </c>
      <c r="AZ373" s="53">
        <f t="shared" si="176"/>
        <v>115.8</v>
      </c>
      <c r="BA373" s="133" t="s">
        <v>83</v>
      </c>
      <c r="BC373" s="146">
        <f t="shared" si="163"/>
        <v>-24</v>
      </c>
      <c r="BD373" s="147">
        <f t="shared" si="164"/>
        <v>118</v>
      </c>
      <c r="BE373" s="147">
        <f t="shared" si="164"/>
        <v>130</v>
      </c>
      <c r="BF373" s="147">
        <f t="shared" si="164"/>
        <v>90</v>
      </c>
      <c r="BG373" s="147">
        <f t="shared" si="165"/>
        <v>88</v>
      </c>
      <c r="BH373" s="147">
        <f t="shared" si="166"/>
        <v>142</v>
      </c>
      <c r="BI373" s="53">
        <f t="shared" si="167"/>
        <v>113.6</v>
      </c>
    </row>
    <row r="374" spans="8:61" ht="12">
      <c r="H374" s="58" t="s">
        <v>116</v>
      </c>
      <c r="I374" s="58"/>
      <c r="J374" s="58"/>
      <c r="K374" s="102">
        <f>K372-K373</f>
        <v>870.3</v>
      </c>
      <c r="L374" s="102">
        <f>L372-L373</f>
        <v>693</v>
      </c>
      <c r="M374" s="102">
        <f>M372-M373</f>
        <v>634</v>
      </c>
      <c r="N374" s="102">
        <f>N372-N373</f>
        <v>604</v>
      </c>
      <c r="O374" s="102">
        <f>O372-O373</f>
        <v>381</v>
      </c>
      <c r="P374" s="56">
        <f t="shared" si="177"/>
        <v>636.46</v>
      </c>
      <c r="Q374" s="25" t="s">
        <v>83</v>
      </c>
      <c r="S374" s="132">
        <f t="shared" si="168"/>
        <v>1445</v>
      </c>
      <c r="T374" s="42">
        <v>720</v>
      </c>
      <c r="U374" s="42">
        <v>732</v>
      </c>
      <c r="V374" s="42">
        <v>377</v>
      </c>
      <c r="W374" s="42">
        <v>296</v>
      </c>
      <c r="X374" s="42">
        <v>-725</v>
      </c>
      <c r="Y374" s="53">
        <f t="shared" si="169"/>
        <v>280</v>
      </c>
      <c r="Z374" s="25" t="s">
        <v>83</v>
      </c>
      <c r="AB374" s="132">
        <f t="shared" si="170"/>
        <v>-79</v>
      </c>
      <c r="AC374" s="42">
        <v>5</v>
      </c>
      <c r="AD374" s="42">
        <v>14</v>
      </c>
      <c r="AE374" s="42">
        <v>-1</v>
      </c>
      <c r="AF374" s="42">
        <v>18</v>
      </c>
      <c r="AG374" s="42">
        <v>84</v>
      </c>
      <c r="AH374" s="53">
        <f t="shared" si="171"/>
        <v>24</v>
      </c>
      <c r="AI374" s="25" t="s">
        <v>83</v>
      </c>
      <c r="AJ374" s="25"/>
      <c r="AK374" s="132">
        <f t="shared" si="172"/>
        <v>-158</v>
      </c>
      <c r="AL374" s="42">
        <f t="shared" si="173"/>
        <v>10</v>
      </c>
      <c r="AM374" s="42">
        <f t="shared" si="173"/>
        <v>28</v>
      </c>
      <c r="AN374" s="42">
        <f t="shared" si="173"/>
        <v>-2</v>
      </c>
      <c r="AO374" s="42">
        <f t="shared" si="173"/>
        <v>36</v>
      </c>
      <c r="AP374" s="42">
        <f t="shared" si="173"/>
        <v>168</v>
      </c>
      <c r="AQ374" s="53">
        <f t="shared" si="174"/>
        <v>48</v>
      </c>
      <c r="AR374" s="60" t="s">
        <v>83</v>
      </c>
      <c r="AS374" s="60"/>
      <c r="AT374" s="132">
        <f t="shared" si="175"/>
        <v>-12</v>
      </c>
      <c r="AU374" s="65">
        <v>59</v>
      </c>
      <c r="AV374" s="65">
        <v>65</v>
      </c>
      <c r="AW374" s="65">
        <v>45</v>
      </c>
      <c r="AX374" s="65">
        <v>44</v>
      </c>
      <c r="AY374" s="65">
        <v>71</v>
      </c>
      <c r="AZ374" s="53">
        <f t="shared" si="176"/>
        <v>56.8</v>
      </c>
      <c r="BA374" s="133" t="s">
        <v>98</v>
      </c>
      <c r="BC374" s="146">
        <f t="shared" si="163"/>
        <v>1088</v>
      </c>
      <c r="BD374" s="147">
        <f t="shared" si="164"/>
        <v>910</v>
      </c>
      <c r="BE374" s="147">
        <f t="shared" si="164"/>
        <v>660</v>
      </c>
      <c r="BF374" s="147">
        <f t="shared" si="164"/>
        <v>524</v>
      </c>
      <c r="BG374" s="147">
        <f t="shared" si="165"/>
        <v>504</v>
      </c>
      <c r="BH374" s="147">
        <f t="shared" si="166"/>
        <v>-178</v>
      </c>
      <c r="BI374" s="53">
        <f t="shared" si="167"/>
        <v>484</v>
      </c>
    </row>
    <row r="375" spans="8:61" ht="12">
      <c r="H375" s="58" t="s">
        <v>82</v>
      </c>
      <c r="I375" s="58"/>
      <c r="J375" s="58"/>
      <c r="K375" s="102">
        <v>104</v>
      </c>
      <c r="L375" s="102">
        <v>74</v>
      </c>
      <c r="M375" s="102">
        <v>120</v>
      </c>
      <c r="N375" s="102">
        <v>140</v>
      </c>
      <c r="O375" s="102">
        <v>159</v>
      </c>
      <c r="P375" s="56">
        <f t="shared" si="177"/>
        <v>119.4</v>
      </c>
      <c r="Q375" s="25" t="s">
        <v>98</v>
      </c>
      <c r="S375" s="132">
        <f t="shared" si="168"/>
        <v>2303</v>
      </c>
      <c r="T375" s="42">
        <v>2083</v>
      </c>
      <c r="U375" s="42">
        <v>1638</v>
      </c>
      <c r="V375" s="42">
        <v>1246</v>
      </c>
      <c r="W375" s="42">
        <v>1324</v>
      </c>
      <c r="X375" s="42">
        <v>-220</v>
      </c>
      <c r="Y375" s="53">
        <f t="shared" si="169"/>
        <v>1214.2</v>
      </c>
      <c r="Z375" s="25" t="s">
        <v>98</v>
      </c>
      <c r="AB375" s="132">
        <f t="shared" si="170"/>
        <v>-42</v>
      </c>
      <c r="AC375" s="42">
        <v>190</v>
      </c>
      <c r="AD375" s="42">
        <v>199</v>
      </c>
      <c r="AE375" s="42">
        <v>59</v>
      </c>
      <c r="AF375" s="42">
        <v>43</v>
      </c>
      <c r="AG375" s="42">
        <v>232</v>
      </c>
      <c r="AH375" s="53">
        <f t="shared" si="171"/>
        <v>144.6</v>
      </c>
      <c r="AI375" s="25" t="s">
        <v>98</v>
      </c>
      <c r="AJ375" s="25"/>
      <c r="AK375" s="132">
        <f t="shared" si="172"/>
        <v>-84</v>
      </c>
      <c r="AL375" s="42">
        <f t="shared" si="173"/>
        <v>380</v>
      </c>
      <c r="AM375" s="42">
        <f t="shared" si="173"/>
        <v>398</v>
      </c>
      <c r="AN375" s="42">
        <f t="shared" si="173"/>
        <v>118</v>
      </c>
      <c r="AO375" s="42">
        <f t="shared" si="173"/>
        <v>86</v>
      </c>
      <c r="AP375" s="42">
        <f t="shared" si="173"/>
        <v>464</v>
      </c>
      <c r="AQ375" s="53">
        <f t="shared" si="174"/>
        <v>289.2</v>
      </c>
      <c r="AR375" s="60" t="s">
        <v>98</v>
      </c>
      <c r="AS375" s="60"/>
      <c r="AT375" s="132">
        <f t="shared" si="175"/>
        <v>544</v>
      </c>
      <c r="AU375" s="65">
        <v>455</v>
      </c>
      <c r="AV375" s="65">
        <v>330</v>
      </c>
      <c r="AW375" s="65">
        <v>262</v>
      </c>
      <c r="AX375" s="65">
        <v>252</v>
      </c>
      <c r="AY375" s="65">
        <v>-89</v>
      </c>
      <c r="AZ375" s="53">
        <f t="shared" si="176"/>
        <v>242</v>
      </c>
      <c r="BC375" s="139"/>
      <c r="BD375" s="147"/>
      <c r="BE375" s="147"/>
      <c r="BF375" s="147"/>
      <c r="BG375" s="147"/>
      <c r="BH375" s="147"/>
      <c r="BI375" s="53"/>
    </row>
    <row r="376" spans="8:61" ht="12">
      <c r="H376" s="58" t="s">
        <v>83</v>
      </c>
      <c r="I376" s="58"/>
      <c r="J376" s="58"/>
      <c r="K376" s="102">
        <v>24</v>
      </c>
      <c r="L376" s="102">
        <v>32</v>
      </c>
      <c r="M376" s="102">
        <v>14</v>
      </c>
      <c r="N376" s="102">
        <v>13</v>
      </c>
      <c r="O376" s="102">
        <v>7</v>
      </c>
      <c r="P376" s="56">
        <f t="shared" si="177"/>
        <v>18</v>
      </c>
      <c r="Q376" s="22"/>
      <c r="R376" s="22"/>
      <c r="S376" s="22"/>
      <c r="T376" s="42"/>
      <c r="U376" s="42"/>
      <c r="V376" s="42"/>
      <c r="W376" s="42"/>
      <c r="X376" s="42"/>
      <c r="Y376" s="53"/>
      <c r="Z376" s="22"/>
      <c r="AA376" s="22"/>
      <c r="AB376" s="22"/>
      <c r="AC376" s="42"/>
      <c r="AD376" s="42"/>
      <c r="AE376" s="42"/>
      <c r="AF376" s="42"/>
      <c r="AG376" s="42"/>
      <c r="AH376" s="53"/>
      <c r="AI376" s="22"/>
      <c r="AJ376" s="22"/>
      <c r="AK376" s="22"/>
      <c r="AL376" s="42"/>
      <c r="AM376" s="42"/>
      <c r="AN376" s="42"/>
      <c r="AO376" s="42"/>
      <c r="AP376" s="42"/>
      <c r="AQ376" s="53"/>
      <c r="AR376" s="64"/>
      <c r="AS376" s="64"/>
      <c r="AT376" s="64"/>
      <c r="AU376" s="65"/>
      <c r="AV376" s="65"/>
      <c r="AW376" s="65"/>
      <c r="AX376" s="65"/>
      <c r="AY376" s="65"/>
      <c r="AZ376" s="53"/>
      <c r="BA376" s="139"/>
      <c r="BB376" s="139"/>
      <c r="BI376" s="137"/>
    </row>
    <row r="377" spans="8:61" ht="12">
      <c r="H377" s="58" t="s">
        <v>98</v>
      </c>
      <c r="I377" s="58"/>
      <c r="J377" s="58"/>
      <c r="K377" s="102">
        <v>212</v>
      </c>
      <c r="L377" s="102">
        <v>163</v>
      </c>
      <c r="M377" s="102">
        <v>-114</v>
      </c>
      <c r="N377" s="102">
        <v>-41</v>
      </c>
      <c r="O377" s="102">
        <v>-47</v>
      </c>
      <c r="P377" s="56">
        <f t="shared" si="177"/>
        <v>34.6</v>
      </c>
      <c r="Q377" s="25" t="s">
        <v>60</v>
      </c>
      <c r="S377" s="28" t="s">
        <v>17</v>
      </c>
      <c r="T377" s="28" t="s">
        <v>38</v>
      </c>
      <c r="U377" s="28" t="s">
        <v>38</v>
      </c>
      <c r="V377" s="28" t="s">
        <v>38</v>
      </c>
      <c r="W377" s="28" t="s">
        <v>38</v>
      </c>
      <c r="X377" s="28" t="s">
        <v>38</v>
      </c>
      <c r="Y377" s="143" t="s">
        <v>38</v>
      </c>
      <c r="AH377" s="137"/>
      <c r="AI377" s="25" t="s">
        <v>60</v>
      </c>
      <c r="AJ377" s="25"/>
      <c r="AK377" s="28" t="s">
        <v>17</v>
      </c>
      <c r="AL377" s="28" t="s">
        <v>38</v>
      </c>
      <c r="AM377" s="28" t="s">
        <v>38</v>
      </c>
      <c r="AN377" s="28" t="s">
        <v>38</v>
      </c>
      <c r="AO377" s="28" t="s">
        <v>38</v>
      </c>
      <c r="AP377" s="28" t="s">
        <v>38</v>
      </c>
      <c r="AQ377" s="143" t="s">
        <v>38</v>
      </c>
      <c r="AR377" s="60"/>
      <c r="AS377" s="60"/>
      <c r="AT377" s="60"/>
      <c r="AU377" s="60"/>
      <c r="AV377" s="60"/>
      <c r="AW377" s="60"/>
      <c r="AX377" s="60"/>
      <c r="AY377" s="60"/>
      <c r="AZ377" s="137"/>
      <c r="BA377" s="133" t="s">
        <v>60</v>
      </c>
      <c r="BC377" s="143" t="s">
        <v>17</v>
      </c>
      <c r="BD377" s="143" t="s">
        <v>38</v>
      </c>
      <c r="BE377" s="143" t="s">
        <v>38</v>
      </c>
      <c r="BF377" s="143" t="s">
        <v>38</v>
      </c>
      <c r="BG377" s="143" t="s">
        <v>38</v>
      </c>
      <c r="BH377" s="143" t="s">
        <v>38</v>
      </c>
      <c r="BI377" s="143" t="s">
        <v>38</v>
      </c>
    </row>
    <row r="378" spans="8:61" ht="12">
      <c r="H378" s="101"/>
      <c r="I378" s="101"/>
      <c r="J378" s="101"/>
      <c r="K378" s="102"/>
      <c r="L378" s="102"/>
      <c r="M378" s="102"/>
      <c r="N378" s="102"/>
      <c r="O378" s="102"/>
      <c r="P378" s="56"/>
      <c r="R378" s="25" t="s">
        <v>61</v>
      </c>
      <c r="S378" s="44">
        <f>T378-X378</f>
        <v>2.81</v>
      </c>
      <c r="T378" s="25">
        <v>2.54</v>
      </c>
      <c r="U378" s="25">
        <v>1.93</v>
      </c>
      <c r="V378" s="25">
        <v>1.45</v>
      </c>
      <c r="W378" s="25">
        <v>1.54</v>
      </c>
      <c r="X378" s="25">
        <v>-0.27</v>
      </c>
      <c r="Y378" s="140">
        <f>AVERAGE(T378:X378)</f>
        <v>1.438</v>
      </c>
      <c r="AC378" s="42"/>
      <c r="AD378" s="42"/>
      <c r="AE378" s="42"/>
      <c r="AF378" s="42"/>
      <c r="AG378" s="42"/>
      <c r="AH378" s="53"/>
      <c r="AI378" s="25"/>
      <c r="AJ378" s="25" t="s">
        <v>61</v>
      </c>
      <c r="AK378" s="44">
        <f>AL378-AP378</f>
        <v>0.06000000000000005</v>
      </c>
      <c r="AL378" s="33">
        <f aca="true" t="shared" si="178" ref="AL378:AP379">2*AC380</f>
        <v>0.66</v>
      </c>
      <c r="AM378" s="33">
        <f t="shared" si="178"/>
        <v>0.56</v>
      </c>
      <c r="AN378" s="33">
        <f t="shared" si="178"/>
        <v>0.1</v>
      </c>
      <c r="AO378" s="33">
        <f t="shared" si="178"/>
        <v>0.06</v>
      </c>
      <c r="AP378" s="33">
        <f t="shared" si="178"/>
        <v>0.6</v>
      </c>
      <c r="AQ378" s="140">
        <f>AVERAGE(AL378:AP378)</f>
        <v>0.3960000000000001</v>
      </c>
      <c r="AR378" s="60"/>
      <c r="AS378" s="60"/>
      <c r="AT378" s="60"/>
      <c r="AU378" s="65"/>
      <c r="AV378" s="65"/>
      <c r="AW378" s="65"/>
      <c r="AX378" s="65"/>
      <c r="AY378" s="65"/>
      <c r="AZ378" s="53"/>
      <c r="BB378" s="133" t="s">
        <v>61</v>
      </c>
      <c r="BC378" s="148">
        <f>BD378-BH378</f>
        <v>1.4000000000000001</v>
      </c>
      <c r="BD378" s="149">
        <f aca="true" t="shared" si="179" ref="BD378:BH379">2*AU380</f>
        <v>1.12</v>
      </c>
      <c r="BE378" s="149">
        <f t="shared" si="179"/>
        <v>1.56</v>
      </c>
      <c r="BF378" s="149">
        <f t="shared" si="179"/>
        <v>0.66</v>
      </c>
      <c r="BG378" s="149">
        <f t="shared" si="179"/>
        <v>0.64</v>
      </c>
      <c r="BH378" s="149">
        <f t="shared" si="179"/>
        <v>-0.28</v>
      </c>
      <c r="BI378" s="140">
        <f>AVERAGE(BD378:BH378)</f>
        <v>0.74</v>
      </c>
    </row>
    <row r="379" spans="8:61" ht="12">
      <c r="H379" s="58"/>
      <c r="I379" s="58"/>
      <c r="J379" s="58"/>
      <c r="K379" s="58"/>
      <c r="L379" s="58"/>
      <c r="M379" s="58"/>
      <c r="N379" s="58"/>
      <c r="O379" s="58"/>
      <c r="P379" s="27"/>
      <c r="R379" s="25" t="s">
        <v>62</v>
      </c>
      <c r="S379" s="44">
        <f>T379-X379</f>
        <v>2.79</v>
      </c>
      <c r="T379" s="25">
        <v>2.52</v>
      </c>
      <c r="U379" s="25">
        <v>1.92</v>
      </c>
      <c r="V379" s="25">
        <v>1.45</v>
      </c>
      <c r="W379" s="25">
        <v>1.54</v>
      </c>
      <c r="X379" s="25">
        <v>-0.27</v>
      </c>
      <c r="Y379" s="140">
        <f>AVERAGE(T379:X379)</f>
        <v>1.432</v>
      </c>
      <c r="Z379" s="25" t="s">
        <v>60</v>
      </c>
      <c r="AB379" s="28" t="s">
        <v>17</v>
      </c>
      <c r="AC379" s="28" t="s">
        <v>68</v>
      </c>
      <c r="AD379" s="28" t="s">
        <v>68</v>
      </c>
      <c r="AE379" s="28" t="s">
        <v>68</v>
      </c>
      <c r="AF379" s="28" t="s">
        <v>68</v>
      </c>
      <c r="AG379" s="28" t="s">
        <v>68</v>
      </c>
      <c r="AH379" s="138" t="s">
        <v>68</v>
      </c>
      <c r="AI379" s="25"/>
      <c r="AJ379" s="25" t="s">
        <v>62</v>
      </c>
      <c r="AK379" s="44">
        <f>AL379-AP379</f>
        <v>0.06000000000000005</v>
      </c>
      <c r="AL379" s="33">
        <f t="shared" si="178"/>
        <v>0.66</v>
      </c>
      <c r="AM379" s="33">
        <f t="shared" si="178"/>
        <v>0.56</v>
      </c>
      <c r="AN379" s="33">
        <f t="shared" si="178"/>
        <v>0.1</v>
      </c>
      <c r="AO379" s="33">
        <f t="shared" si="178"/>
        <v>0.06</v>
      </c>
      <c r="AP379" s="33">
        <f t="shared" si="178"/>
        <v>0.6</v>
      </c>
      <c r="AQ379" s="140">
        <f>AVERAGE(AL379:AP379)</f>
        <v>0.3960000000000001</v>
      </c>
      <c r="AR379" s="60" t="s">
        <v>60</v>
      </c>
      <c r="AS379" s="60"/>
      <c r="AT379" s="62" t="s">
        <v>17</v>
      </c>
      <c r="AU379" s="62" t="s">
        <v>68</v>
      </c>
      <c r="AV379" s="62" t="s">
        <v>68</v>
      </c>
      <c r="AW379" s="62" t="s">
        <v>68</v>
      </c>
      <c r="AX379" s="62" t="s">
        <v>68</v>
      </c>
      <c r="AY379" s="62" t="s">
        <v>68</v>
      </c>
      <c r="AZ379" s="138" t="s">
        <v>68</v>
      </c>
      <c r="BB379" s="133" t="s">
        <v>62</v>
      </c>
      <c r="BC379" s="148">
        <f>BD379-BH379</f>
        <v>1.4000000000000001</v>
      </c>
      <c r="BD379" s="149">
        <f t="shared" si="179"/>
        <v>1.12</v>
      </c>
      <c r="BE379" s="149">
        <f t="shared" si="179"/>
        <v>1.56</v>
      </c>
      <c r="BF379" s="149">
        <f t="shared" si="179"/>
        <v>0.66</v>
      </c>
      <c r="BG379" s="149">
        <f t="shared" si="179"/>
        <v>0.64</v>
      </c>
      <c r="BH379" s="149">
        <f t="shared" si="179"/>
        <v>-0.28</v>
      </c>
      <c r="BI379" s="140">
        <f>AVERAGE(BD379:BH379)</f>
        <v>0.74</v>
      </c>
    </row>
    <row r="380" spans="8:61" ht="12">
      <c r="H380" s="58"/>
      <c r="I380" s="58"/>
      <c r="J380" s="58"/>
      <c r="K380" s="102"/>
      <c r="L380" s="102"/>
      <c r="M380" s="102"/>
      <c r="N380" s="102"/>
      <c r="O380" s="102"/>
      <c r="P380" s="56"/>
      <c r="AA380" s="25" t="s">
        <v>61</v>
      </c>
      <c r="AB380" s="44">
        <f>AC380-AG380</f>
        <v>0.030000000000000027</v>
      </c>
      <c r="AC380" s="33">
        <v>0.33</v>
      </c>
      <c r="AD380" s="33">
        <v>0.28</v>
      </c>
      <c r="AE380" s="33">
        <v>0.05</v>
      </c>
      <c r="AF380" s="33">
        <v>0.03</v>
      </c>
      <c r="AG380" s="33">
        <v>0.3</v>
      </c>
      <c r="AH380" s="140">
        <f>AVERAGE(AC380:AG380)</f>
        <v>0.19800000000000004</v>
      </c>
      <c r="AI380" s="25"/>
      <c r="AJ380" s="25"/>
      <c r="AK380" s="25"/>
      <c r="AL380" s="25"/>
      <c r="AM380" s="25"/>
      <c r="AN380" s="25"/>
      <c r="AO380" s="25"/>
      <c r="AP380" s="25"/>
      <c r="AQ380" s="137"/>
      <c r="AR380" s="60"/>
      <c r="AS380" s="60" t="s">
        <v>61</v>
      </c>
      <c r="AT380" s="44">
        <f>AU380-AY380</f>
        <v>0.7000000000000001</v>
      </c>
      <c r="AU380" s="60">
        <v>0.56</v>
      </c>
      <c r="AV380" s="60">
        <v>0.78</v>
      </c>
      <c r="AW380" s="60">
        <v>0.33</v>
      </c>
      <c r="AX380" s="60">
        <v>0.32</v>
      </c>
      <c r="AY380" s="60">
        <v>-0.14</v>
      </c>
      <c r="AZ380" s="140">
        <f>AVERAGE(AU380:AY380)</f>
        <v>0.37</v>
      </c>
      <c r="BI380" s="137"/>
    </row>
    <row r="381" spans="8:61" ht="12">
      <c r="H381" s="58" t="s">
        <v>60</v>
      </c>
      <c r="I381" s="58"/>
      <c r="J381" s="55" t="s">
        <v>17</v>
      </c>
      <c r="K381" s="55" t="s">
        <v>68</v>
      </c>
      <c r="L381" s="55" t="s">
        <v>68</v>
      </c>
      <c r="M381" s="55" t="s">
        <v>68</v>
      </c>
      <c r="N381" s="55" t="s">
        <v>68</v>
      </c>
      <c r="O381" s="55" t="s">
        <v>68</v>
      </c>
      <c r="P381" s="30" t="s">
        <v>68</v>
      </c>
      <c r="Q381" s="22" t="s">
        <v>77</v>
      </c>
      <c r="T381" s="28" t="s">
        <v>71</v>
      </c>
      <c r="U381" s="28" t="s">
        <v>71</v>
      </c>
      <c r="V381" s="28" t="s">
        <v>71</v>
      </c>
      <c r="W381" s="28" t="s">
        <v>71</v>
      </c>
      <c r="X381" s="28" t="s">
        <v>71</v>
      </c>
      <c r="Y381" s="138" t="s">
        <v>71</v>
      </c>
      <c r="AA381" s="25" t="s">
        <v>62</v>
      </c>
      <c r="AB381" s="44">
        <f>AC381-AG381</f>
        <v>0.030000000000000027</v>
      </c>
      <c r="AC381" s="33">
        <v>0.33</v>
      </c>
      <c r="AD381" s="33">
        <v>0.28</v>
      </c>
      <c r="AE381" s="33">
        <v>0.05</v>
      </c>
      <c r="AF381" s="33">
        <v>0.03</v>
      </c>
      <c r="AG381" s="33">
        <v>0.3</v>
      </c>
      <c r="AH381" s="140">
        <f>AVERAGE(AC381:AG381)</f>
        <v>0.19800000000000004</v>
      </c>
      <c r="AI381" s="22" t="s">
        <v>77</v>
      </c>
      <c r="AJ381" s="25"/>
      <c r="AK381" s="25"/>
      <c r="AL381" s="28" t="s">
        <v>71</v>
      </c>
      <c r="AM381" s="28" t="s">
        <v>71</v>
      </c>
      <c r="AN381" s="28" t="s">
        <v>71</v>
      </c>
      <c r="AO381" s="28" t="s">
        <v>71</v>
      </c>
      <c r="AP381" s="28" t="s">
        <v>71</v>
      </c>
      <c r="AQ381" s="138" t="s">
        <v>71</v>
      </c>
      <c r="AR381" s="60"/>
      <c r="AS381" s="60" t="s">
        <v>62</v>
      </c>
      <c r="AT381" s="44">
        <f>AU381-AY381</f>
        <v>0.7000000000000001</v>
      </c>
      <c r="AU381" s="60">
        <v>0.56</v>
      </c>
      <c r="AV381" s="60">
        <v>0.78</v>
      </c>
      <c r="AW381" s="60">
        <v>0.33</v>
      </c>
      <c r="AX381" s="60">
        <v>0.32</v>
      </c>
      <c r="AY381" s="60">
        <v>-0.14</v>
      </c>
      <c r="AZ381" s="140">
        <f>AVERAGE(AU381:AY381)</f>
        <v>0.37</v>
      </c>
      <c r="BA381" s="139" t="s">
        <v>77</v>
      </c>
      <c r="BD381" s="143" t="s">
        <v>71</v>
      </c>
      <c r="BE381" s="143" t="s">
        <v>71</v>
      </c>
      <c r="BF381" s="143" t="s">
        <v>71</v>
      </c>
      <c r="BG381" s="143" t="s">
        <v>71</v>
      </c>
      <c r="BH381" s="143" t="s">
        <v>71</v>
      </c>
      <c r="BI381" s="138" t="s">
        <v>71</v>
      </c>
    </row>
    <row r="382" spans="8:61" ht="12">
      <c r="H382" s="58"/>
      <c r="I382" s="58" t="s">
        <v>61</v>
      </c>
      <c r="J382" s="58"/>
      <c r="K382" s="103">
        <v>0.3</v>
      </c>
      <c r="L382" s="58">
        <v>0.23</v>
      </c>
      <c r="M382" s="58">
        <v>-0.9</v>
      </c>
      <c r="N382" s="58">
        <v>-0.16</v>
      </c>
      <c r="O382" s="58"/>
      <c r="P382" s="34">
        <f>AVERAGE(K382:O382)</f>
        <v>-0.1325</v>
      </c>
      <c r="T382" s="28" t="s">
        <v>38</v>
      </c>
      <c r="U382" s="28" t="s">
        <v>38</v>
      </c>
      <c r="V382" s="28" t="s">
        <v>38</v>
      </c>
      <c r="W382" s="28" t="s">
        <v>38</v>
      </c>
      <c r="X382" s="28" t="s">
        <v>38</v>
      </c>
      <c r="Y382" s="143" t="s">
        <v>38</v>
      </c>
      <c r="AH382" s="137"/>
      <c r="AI382" s="25"/>
      <c r="AJ382" s="25"/>
      <c r="AK382" s="25"/>
      <c r="AL382" s="28" t="s">
        <v>38</v>
      </c>
      <c r="AM382" s="28" t="s">
        <v>38</v>
      </c>
      <c r="AN382" s="28" t="s">
        <v>38</v>
      </c>
      <c r="AO382" s="28" t="s">
        <v>38</v>
      </c>
      <c r="AP382" s="28" t="s">
        <v>38</v>
      </c>
      <c r="AQ382" s="143" t="s">
        <v>38</v>
      </c>
      <c r="AR382" s="60"/>
      <c r="AS382" s="60"/>
      <c r="AT382" s="60"/>
      <c r="AU382" s="60"/>
      <c r="AV382" s="60"/>
      <c r="AW382" s="60"/>
      <c r="AX382" s="60"/>
      <c r="AY382" s="60"/>
      <c r="AZ382" s="137"/>
      <c r="BD382" s="143" t="s">
        <v>38</v>
      </c>
      <c r="BE382" s="143" t="s">
        <v>38</v>
      </c>
      <c r="BF382" s="143" t="s">
        <v>38</v>
      </c>
      <c r="BG382" s="143" t="s">
        <v>38</v>
      </c>
      <c r="BH382" s="143" t="s">
        <v>38</v>
      </c>
      <c r="BI382" s="143" t="s">
        <v>38</v>
      </c>
    </row>
    <row r="383" spans="8:61" ht="12">
      <c r="H383" s="58"/>
      <c r="I383" s="58" t="s">
        <v>62</v>
      </c>
      <c r="J383" s="58"/>
      <c r="K383" s="103">
        <v>0.3</v>
      </c>
      <c r="L383" s="58">
        <v>0.23</v>
      </c>
      <c r="M383" s="58">
        <v>-0.9</v>
      </c>
      <c r="N383" s="58">
        <v>-0.16</v>
      </c>
      <c r="O383" s="58"/>
      <c r="P383" s="34">
        <f>AVERAGE(K383:O383)</f>
        <v>-0.1325</v>
      </c>
      <c r="Q383" s="25" t="s">
        <v>79</v>
      </c>
      <c r="S383" s="132">
        <f>T383-X383</f>
        <v>831</v>
      </c>
      <c r="T383" s="42">
        <v>3211</v>
      </c>
      <c r="U383" s="42">
        <v>2442</v>
      </c>
      <c r="V383" s="42">
        <v>2253</v>
      </c>
      <c r="W383" s="42">
        <v>2199</v>
      </c>
      <c r="X383" s="42">
        <v>2380</v>
      </c>
      <c r="Y383" s="53">
        <f>AVERAGE(T383:X383)</f>
        <v>2497</v>
      </c>
      <c r="Z383" s="22" t="s">
        <v>77</v>
      </c>
      <c r="AC383" s="28" t="s">
        <v>71</v>
      </c>
      <c r="AD383" s="28" t="s">
        <v>71</v>
      </c>
      <c r="AE383" s="28" t="s">
        <v>71</v>
      </c>
      <c r="AF383" s="28" t="s">
        <v>71</v>
      </c>
      <c r="AG383" s="28" t="s">
        <v>71</v>
      </c>
      <c r="AH383" s="138" t="s">
        <v>71</v>
      </c>
      <c r="AI383" s="25" t="s">
        <v>79</v>
      </c>
      <c r="AJ383" s="25"/>
      <c r="AK383" s="132">
        <f>AL383-AM383</f>
        <v>144</v>
      </c>
      <c r="AL383" s="42">
        <f aca="true" t="shared" si="180" ref="AL383:AP385">2*AC385</f>
        <v>726</v>
      </c>
      <c r="AM383" s="42">
        <f t="shared" si="180"/>
        <v>582</v>
      </c>
      <c r="AN383" s="42">
        <f t="shared" si="180"/>
        <v>0</v>
      </c>
      <c r="AO383" s="42">
        <f t="shared" si="180"/>
        <v>0</v>
      </c>
      <c r="AP383" s="42">
        <f t="shared" si="180"/>
        <v>0</v>
      </c>
      <c r="AQ383" s="53">
        <f>AVERAGE(AL383:AP383)</f>
        <v>261.6</v>
      </c>
      <c r="AR383" s="64" t="s">
        <v>77</v>
      </c>
      <c r="AS383" s="60"/>
      <c r="AT383" s="60"/>
      <c r="AU383" s="62" t="s">
        <v>71</v>
      </c>
      <c r="AV383" s="62" t="s">
        <v>71</v>
      </c>
      <c r="AW383" s="62" t="s">
        <v>71</v>
      </c>
      <c r="AX383" s="62" t="s">
        <v>71</v>
      </c>
      <c r="AY383" s="62" t="s">
        <v>71</v>
      </c>
      <c r="AZ383" s="138" t="s">
        <v>71</v>
      </c>
      <c r="BA383" s="133" t="s">
        <v>79</v>
      </c>
      <c r="BC383" s="146">
        <f>BD383-BE383</f>
        <v>-62</v>
      </c>
      <c r="BD383" s="147">
        <f aca="true" t="shared" si="181" ref="BD383:BH385">2*AU385</f>
        <v>912</v>
      </c>
      <c r="BE383" s="147">
        <f t="shared" si="181"/>
        <v>974</v>
      </c>
      <c r="BF383" s="147">
        <f t="shared" si="181"/>
        <v>1124</v>
      </c>
      <c r="BG383" s="147">
        <f t="shared" si="181"/>
        <v>800</v>
      </c>
      <c r="BH383" s="147">
        <f t="shared" si="181"/>
        <v>0</v>
      </c>
      <c r="BI383" s="53">
        <f>AVERAGE(BD383:BH383)</f>
        <v>762</v>
      </c>
    </row>
    <row r="384" spans="8:61" ht="12">
      <c r="H384" s="58"/>
      <c r="I384" s="58"/>
      <c r="J384" s="58"/>
      <c r="K384" s="58"/>
      <c r="L384" s="58"/>
      <c r="M384" s="58"/>
      <c r="N384" s="58"/>
      <c r="O384" s="58"/>
      <c r="P384" s="27"/>
      <c r="Q384" s="25" t="s">
        <v>80</v>
      </c>
      <c r="S384" s="132">
        <f>T384-X384</f>
        <v>256</v>
      </c>
      <c r="T384" s="42">
        <v>-614</v>
      </c>
      <c r="U384" s="42">
        <v>-2010</v>
      </c>
      <c r="V384" s="42">
        <v>-584</v>
      </c>
      <c r="W384" s="42">
        <v>-680</v>
      </c>
      <c r="X384" s="42">
        <v>-870</v>
      </c>
      <c r="Y384" s="53">
        <f>AVERAGE(T384:X384)</f>
        <v>-951.6</v>
      </c>
      <c r="AC384" s="28" t="s">
        <v>68</v>
      </c>
      <c r="AD384" s="28" t="s">
        <v>68</v>
      </c>
      <c r="AE384" s="28" t="s">
        <v>68</v>
      </c>
      <c r="AF384" s="28" t="s">
        <v>68</v>
      </c>
      <c r="AG384" s="28" t="s">
        <v>68</v>
      </c>
      <c r="AH384" s="138" t="s">
        <v>68</v>
      </c>
      <c r="AI384" s="25" t="s">
        <v>80</v>
      </c>
      <c r="AJ384" s="25"/>
      <c r="AK384" s="132">
        <f>AL384-AM384</f>
        <v>-424</v>
      </c>
      <c r="AL384" s="42">
        <f t="shared" si="180"/>
        <v>-700</v>
      </c>
      <c r="AM384" s="42">
        <f t="shared" si="180"/>
        <v>-276</v>
      </c>
      <c r="AN384" s="42">
        <f t="shared" si="180"/>
        <v>0</v>
      </c>
      <c r="AO384" s="42">
        <f t="shared" si="180"/>
        <v>0</v>
      </c>
      <c r="AP384" s="42">
        <f t="shared" si="180"/>
        <v>0</v>
      </c>
      <c r="AQ384" s="53">
        <f>AVERAGE(AL384:AP384)</f>
        <v>-195.2</v>
      </c>
      <c r="AR384" s="60"/>
      <c r="AS384" s="60"/>
      <c r="AT384" s="60"/>
      <c r="AU384" s="62" t="s">
        <v>68</v>
      </c>
      <c r="AV384" s="62" t="s">
        <v>68</v>
      </c>
      <c r="AW384" s="62" t="s">
        <v>68</v>
      </c>
      <c r="AX384" s="62" t="s">
        <v>68</v>
      </c>
      <c r="AY384" s="62" t="s">
        <v>68</v>
      </c>
      <c r="AZ384" s="138" t="s">
        <v>68</v>
      </c>
      <c r="BA384" s="133" t="s">
        <v>80</v>
      </c>
      <c r="BC384" s="146">
        <f>BD384-BE384</f>
        <v>-996</v>
      </c>
      <c r="BD384" s="147">
        <f t="shared" si="181"/>
        <v>-754</v>
      </c>
      <c r="BE384" s="147">
        <f t="shared" si="181"/>
        <v>242</v>
      </c>
      <c r="BF384" s="147">
        <f t="shared" si="181"/>
        <v>-562</v>
      </c>
      <c r="BG384" s="147">
        <f t="shared" si="181"/>
        <v>-526</v>
      </c>
      <c r="BH384" s="147">
        <f t="shared" si="181"/>
        <v>0</v>
      </c>
      <c r="BI384" s="53">
        <f>AVERAGE(BD384:BH384)</f>
        <v>-320</v>
      </c>
    </row>
    <row r="385" spans="8:61" ht="12">
      <c r="H385" s="101" t="s">
        <v>77</v>
      </c>
      <c r="I385" s="58"/>
      <c r="J385" s="58"/>
      <c r="K385" s="55" t="s">
        <v>71</v>
      </c>
      <c r="L385" s="55" t="s">
        <v>71</v>
      </c>
      <c r="M385" s="55" t="s">
        <v>71</v>
      </c>
      <c r="N385" s="55" t="s">
        <v>71</v>
      </c>
      <c r="O385" s="55" t="s">
        <v>71</v>
      </c>
      <c r="P385" s="30" t="s">
        <v>71</v>
      </c>
      <c r="Q385" s="25" t="s">
        <v>75</v>
      </c>
      <c r="S385" s="132">
        <f>T385-X385</f>
        <v>-1717</v>
      </c>
      <c r="T385" s="42">
        <v>-2649</v>
      </c>
      <c r="U385" s="42">
        <v>-2716</v>
      </c>
      <c r="V385" s="42">
        <v>-1223</v>
      </c>
      <c r="W385" s="42">
        <v>-895</v>
      </c>
      <c r="X385" s="42">
        <v>-932</v>
      </c>
      <c r="Y385" s="53">
        <f>AVERAGE(T385:X385)</f>
        <v>-1683</v>
      </c>
      <c r="Z385" s="25" t="s">
        <v>79</v>
      </c>
      <c r="AB385" s="132">
        <f>AC385-AD385</f>
        <v>72</v>
      </c>
      <c r="AC385" s="42">
        <v>363</v>
      </c>
      <c r="AD385" s="42">
        <v>291</v>
      </c>
      <c r="AE385" s="42"/>
      <c r="AF385" s="42"/>
      <c r="AG385" s="42"/>
      <c r="AH385" s="53">
        <f>AVERAGE(AC385:AG385)</f>
        <v>327</v>
      </c>
      <c r="AI385" s="25" t="s">
        <v>75</v>
      </c>
      <c r="AJ385" s="25"/>
      <c r="AK385" s="132">
        <f>AL385-AM385</f>
        <v>-200</v>
      </c>
      <c r="AL385" s="42">
        <f t="shared" si="180"/>
        <v>-166</v>
      </c>
      <c r="AM385" s="42">
        <f t="shared" si="180"/>
        <v>34</v>
      </c>
      <c r="AN385" s="42">
        <f t="shared" si="180"/>
        <v>0</v>
      </c>
      <c r="AO385" s="42">
        <f t="shared" si="180"/>
        <v>0</v>
      </c>
      <c r="AP385" s="42">
        <f t="shared" si="180"/>
        <v>0</v>
      </c>
      <c r="AQ385" s="53">
        <f>AVERAGE(AL385:AP385)</f>
        <v>-26.4</v>
      </c>
      <c r="AR385" s="60" t="s">
        <v>79</v>
      </c>
      <c r="AS385" s="60"/>
      <c r="AT385" s="132">
        <f>AU385-AX385</f>
        <v>56</v>
      </c>
      <c r="AU385" s="65">
        <v>456</v>
      </c>
      <c r="AV385" s="65">
        <v>487</v>
      </c>
      <c r="AW385" s="65">
        <v>562</v>
      </c>
      <c r="AX385" s="65">
        <v>400</v>
      </c>
      <c r="AY385" s="65"/>
      <c r="AZ385" s="53">
        <f>AVERAGE(AU385:AY385)</f>
        <v>476.25</v>
      </c>
      <c r="BA385" s="133" t="s">
        <v>75</v>
      </c>
      <c r="BC385" s="146">
        <f>BD385-BE385</f>
        <v>-54</v>
      </c>
      <c r="BD385" s="147">
        <f t="shared" si="181"/>
        <v>-696</v>
      </c>
      <c r="BE385" s="147">
        <f t="shared" si="181"/>
        <v>-642</v>
      </c>
      <c r="BF385" s="147">
        <f t="shared" si="181"/>
        <v>-522</v>
      </c>
      <c r="BG385" s="147">
        <f t="shared" si="181"/>
        <v>-284</v>
      </c>
      <c r="BH385" s="147">
        <f t="shared" si="181"/>
        <v>0</v>
      </c>
      <c r="BI385" s="53">
        <f>AVERAGE(BD385:BH385)</f>
        <v>-428.8</v>
      </c>
    </row>
    <row r="386" spans="8:61" ht="12">
      <c r="H386" s="58"/>
      <c r="I386" s="58"/>
      <c r="J386" s="58"/>
      <c r="K386" s="55" t="s">
        <v>68</v>
      </c>
      <c r="L386" s="55" t="s">
        <v>68</v>
      </c>
      <c r="M386" s="55" t="s">
        <v>68</v>
      </c>
      <c r="N386" s="55" t="s">
        <v>68</v>
      </c>
      <c r="O386" s="55" t="s">
        <v>68</v>
      </c>
      <c r="P386" s="30" t="s">
        <v>68</v>
      </c>
      <c r="Q386" s="25" t="s">
        <v>64</v>
      </c>
      <c r="S386" s="132">
        <f>T386-X386</f>
        <v>-797</v>
      </c>
      <c r="T386" s="42">
        <v>1224</v>
      </c>
      <c r="U386" s="42">
        <v>1234</v>
      </c>
      <c r="V386" s="42">
        <v>3586</v>
      </c>
      <c r="W386" s="42">
        <v>2950</v>
      </c>
      <c r="X386" s="42">
        <v>2021</v>
      </c>
      <c r="Y386" s="53">
        <f>AVERAGE(T386:X386)</f>
        <v>2203</v>
      </c>
      <c r="Z386" s="25" t="s">
        <v>80</v>
      </c>
      <c r="AB386" s="132">
        <f>AC386-AD386</f>
        <v>-212</v>
      </c>
      <c r="AC386" s="42">
        <v>-350</v>
      </c>
      <c r="AD386" s="42">
        <v>-138</v>
      </c>
      <c r="AE386" s="42"/>
      <c r="AF386" s="42"/>
      <c r="AG386" s="42"/>
      <c r="AH386" s="53">
        <f>AVERAGE(AC386:AG386)</f>
        <v>-244</v>
      </c>
      <c r="AI386" s="25" t="s">
        <v>64</v>
      </c>
      <c r="AJ386" s="25"/>
      <c r="AK386" s="132">
        <f>AL386-AM386</f>
        <v>-144</v>
      </c>
      <c r="AL386" s="42">
        <f>2*AC389</f>
        <v>64</v>
      </c>
      <c r="AM386" s="42">
        <f>2*AD389</f>
        <v>208</v>
      </c>
      <c r="AN386" s="42">
        <f>2*AE389</f>
        <v>0</v>
      </c>
      <c r="AO386" s="42">
        <f>2*AF389</f>
        <v>0</v>
      </c>
      <c r="AP386" s="42">
        <f>2*AG389</f>
        <v>0</v>
      </c>
      <c r="AQ386" s="53">
        <f>AVERAGE(AL386:AP386)</f>
        <v>54.4</v>
      </c>
      <c r="AR386" s="60" t="s">
        <v>80</v>
      </c>
      <c r="AS386" s="60"/>
      <c r="AT386" s="132">
        <f>AU386-AX386</f>
        <v>-114</v>
      </c>
      <c r="AU386" s="65">
        <v>-377</v>
      </c>
      <c r="AV386" s="65">
        <v>121</v>
      </c>
      <c r="AW386" s="65">
        <v>-281</v>
      </c>
      <c r="AX386" s="65">
        <v>-263</v>
      </c>
      <c r="AY386" s="65"/>
      <c r="AZ386" s="53">
        <f>AVERAGE(AU386:AY386)</f>
        <v>-200</v>
      </c>
      <c r="BA386" s="133" t="s">
        <v>64</v>
      </c>
      <c r="BC386" s="146">
        <f>BD386-BE386</f>
        <v>-626</v>
      </c>
      <c r="BD386" s="147">
        <f>2*AU389</f>
        <v>1062</v>
      </c>
      <c r="BE386" s="147">
        <f>2*AV389</f>
        <v>1688</v>
      </c>
      <c r="BF386" s="147">
        <f>2*AW389</f>
        <v>1088</v>
      </c>
      <c r="BG386" s="147">
        <f>2*AX389</f>
        <v>1056</v>
      </c>
      <c r="BH386" s="147">
        <f>2*AY389</f>
        <v>0</v>
      </c>
      <c r="BI386" s="53">
        <f>AVERAGE(BD386:BH386)</f>
        <v>978.8</v>
      </c>
    </row>
    <row r="387" spans="8:61" ht="12">
      <c r="H387" s="58" t="s">
        <v>79</v>
      </c>
      <c r="I387" s="58"/>
      <c r="J387" s="103"/>
      <c r="K387" s="102">
        <v>286</v>
      </c>
      <c r="L387" s="102">
        <v>254</v>
      </c>
      <c r="M387" s="102">
        <v>294</v>
      </c>
      <c r="N387" s="102">
        <v>309</v>
      </c>
      <c r="O387" s="102">
        <v>49</v>
      </c>
      <c r="P387" s="56">
        <f>AVERAGE(K387:O387)</f>
        <v>238.4</v>
      </c>
      <c r="Z387" s="25" t="s">
        <v>75</v>
      </c>
      <c r="AB387" s="132">
        <f>AC387-AD387</f>
        <v>-100</v>
      </c>
      <c r="AC387" s="42">
        <v>-83</v>
      </c>
      <c r="AD387" s="42">
        <v>17</v>
      </c>
      <c r="AE387" s="42"/>
      <c r="AF387" s="42"/>
      <c r="AG387" s="42"/>
      <c r="AH387" s="53">
        <f>AVERAGE(AC387:AG387)</f>
        <v>-33</v>
      </c>
      <c r="AI387" s="25"/>
      <c r="AJ387" s="25"/>
      <c r="AK387" s="25"/>
      <c r="AL387" s="25"/>
      <c r="AM387" s="25"/>
      <c r="AN387" s="25"/>
      <c r="AO387" s="25"/>
      <c r="AP387" s="25"/>
      <c r="AQ387" s="137"/>
      <c r="AR387" s="60" t="s">
        <v>75</v>
      </c>
      <c r="AS387" s="60"/>
      <c r="AT387" s="132">
        <f>AU387-AX387</f>
        <v>-206</v>
      </c>
      <c r="AU387" s="65">
        <v>-348</v>
      </c>
      <c r="AV387" s="65">
        <v>-321</v>
      </c>
      <c r="AW387" s="65">
        <v>-261</v>
      </c>
      <c r="AX387" s="65">
        <v>-142</v>
      </c>
      <c r="AY387" s="65"/>
      <c r="AZ387" s="53">
        <f>AVERAGE(AU387:AY387)</f>
        <v>-268</v>
      </c>
      <c r="BI387" s="137"/>
    </row>
    <row r="388" spans="8:61" ht="12">
      <c r="H388" s="58" t="s">
        <v>80</v>
      </c>
      <c r="I388" s="58"/>
      <c r="J388" s="103"/>
      <c r="K388" s="102">
        <v>-1001</v>
      </c>
      <c r="L388" s="102">
        <v>-56</v>
      </c>
      <c r="M388" s="102">
        <v>157</v>
      </c>
      <c r="N388" s="102">
        <v>-156</v>
      </c>
      <c r="O388" s="102">
        <v>-1891</v>
      </c>
      <c r="P388" s="56">
        <f>AVERAGE(K388:O388)</f>
        <v>-589.4</v>
      </c>
      <c r="Q388" s="139" t="s">
        <v>282</v>
      </c>
      <c r="R388" s="133"/>
      <c r="S388" s="133"/>
      <c r="T388" s="28" t="s">
        <v>71</v>
      </c>
      <c r="U388" s="28" t="s">
        <v>71</v>
      </c>
      <c r="V388" s="28" t="s">
        <v>71</v>
      </c>
      <c r="W388" s="28" t="s">
        <v>71</v>
      </c>
      <c r="X388" s="28" t="s">
        <v>71</v>
      </c>
      <c r="Y388" s="138" t="s">
        <v>71</v>
      </c>
      <c r="Z388" s="25" t="s">
        <v>63</v>
      </c>
      <c r="AB388" s="132">
        <f>AC388-AD388</f>
        <v>169</v>
      </c>
      <c r="AC388" s="42">
        <v>104</v>
      </c>
      <c r="AD388" s="42">
        <v>-65</v>
      </c>
      <c r="AE388" s="42"/>
      <c r="AF388" s="42"/>
      <c r="AG388" s="42"/>
      <c r="AH388" s="53">
        <f>AVERAGE(AC388:AG388)</f>
        <v>19.5</v>
      </c>
      <c r="AI388" s="139" t="s">
        <v>282</v>
      </c>
      <c r="AL388" s="28" t="s">
        <v>71</v>
      </c>
      <c r="AM388" s="28" t="s">
        <v>71</v>
      </c>
      <c r="AN388" s="28" t="s">
        <v>71</v>
      </c>
      <c r="AO388" s="28" t="s">
        <v>71</v>
      </c>
      <c r="AP388" s="28" t="s">
        <v>71</v>
      </c>
      <c r="AQ388" s="138" t="s">
        <v>71</v>
      </c>
      <c r="AR388" s="60" t="s">
        <v>63</v>
      </c>
      <c r="AS388" s="60"/>
      <c r="AT388" s="132">
        <f>AU388-AX388</f>
        <v>356</v>
      </c>
      <c r="AU388" s="65">
        <v>844</v>
      </c>
      <c r="AV388" s="65">
        <v>544</v>
      </c>
      <c r="AW388" s="65">
        <v>528</v>
      </c>
      <c r="AX388" s="65">
        <v>488</v>
      </c>
      <c r="AY388" s="65"/>
      <c r="AZ388" s="53">
        <f>AVERAGE(AU388:AY388)</f>
        <v>601</v>
      </c>
      <c r="BA388" s="139" t="s">
        <v>282</v>
      </c>
      <c r="BD388" s="28" t="s">
        <v>71</v>
      </c>
      <c r="BE388" s="28" t="s">
        <v>71</v>
      </c>
      <c r="BF388" s="28" t="s">
        <v>71</v>
      </c>
      <c r="BG388" s="28" t="s">
        <v>71</v>
      </c>
      <c r="BH388" s="28" t="s">
        <v>71</v>
      </c>
      <c r="BI388" s="138" t="s">
        <v>71</v>
      </c>
    </row>
    <row r="389" spans="8:61" ht="12">
      <c r="H389" s="58" t="s">
        <v>75</v>
      </c>
      <c r="I389" s="58"/>
      <c r="J389" s="103"/>
      <c r="K389" s="102">
        <v>682</v>
      </c>
      <c r="L389" s="102">
        <v>-160</v>
      </c>
      <c r="M389" s="102">
        <v>22</v>
      </c>
      <c r="N389" s="102">
        <v>273</v>
      </c>
      <c r="O389" s="102">
        <v>1943</v>
      </c>
      <c r="P389" s="56">
        <f>AVERAGE(K389:O389)</f>
        <v>552</v>
      </c>
      <c r="Q389" s="133"/>
      <c r="R389" s="133"/>
      <c r="S389" s="133"/>
      <c r="T389" s="28" t="s">
        <v>38</v>
      </c>
      <c r="U389" s="28" t="s">
        <v>38</v>
      </c>
      <c r="V389" s="28" t="s">
        <v>38</v>
      </c>
      <c r="W389" s="28" t="s">
        <v>38</v>
      </c>
      <c r="X389" s="28" t="s">
        <v>38</v>
      </c>
      <c r="Y389" s="143" t="s">
        <v>38</v>
      </c>
      <c r="Z389" s="25" t="s">
        <v>64</v>
      </c>
      <c r="AB389" s="132">
        <f>AC389-AD389</f>
        <v>-72</v>
      </c>
      <c r="AC389" s="42">
        <v>32</v>
      </c>
      <c r="AD389" s="42">
        <v>104</v>
      </c>
      <c r="AE389" s="42"/>
      <c r="AF389" s="42"/>
      <c r="AG389" s="42"/>
      <c r="AH389" s="53">
        <f>AVERAGE(AC389:AG389)</f>
        <v>68</v>
      </c>
      <c r="AL389" s="28" t="s">
        <v>38</v>
      </c>
      <c r="AM389" s="28" t="s">
        <v>38</v>
      </c>
      <c r="AN389" s="28" t="s">
        <v>38</v>
      </c>
      <c r="AO389" s="28" t="s">
        <v>38</v>
      </c>
      <c r="AP389" s="28" t="s">
        <v>38</v>
      </c>
      <c r="AQ389" s="143" t="s">
        <v>38</v>
      </c>
      <c r="AR389" s="60" t="s">
        <v>64</v>
      </c>
      <c r="AS389" s="60"/>
      <c r="AT389" s="132">
        <f>AU389-AX389</f>
        <v>3</v>
      </c>
      <c r="AU389" s="65">
        <v>531</v>
      </c>
      <c r="AV389" s="65">
        <v>844</v>
      </c>
      <c r="AW389" s="65">
        <v>544</v>
      </c>
      <c r="AX389" s="65">
        <v>528</v>
      </c>
      <c r="AY389" s="65"/>
      <c r="AZ389" s="53">
        <f>AVERAGE(AU389:AY389)</f>
        <v>611.75</v>
      </c>
      <c r="BD389" s="28" t="s">
        <v>38</v>
      </c>
      <c r="BE389" s="28" t="s">
        <v>38</v>
      </c>
      <c r="BF389" s="28" t="s">
        <v>38</v>
      </c>
      <c r="BG389" s="28" t="s">
        <v>38</v>
      </c>
      <c r="BH389" s="28" t="s">
        <v>38</v>
      </c>
      <c r="BI389" s="143" t="s">
        <v>38</v>
      </c>
    </row>
    <row r="390" spans="8:61" ht="12">
      <c r="H390" s="58" t="s">
        <v>63</v>
      </c>
      <c r="I390" s="58"/>
      <c r="J390" s="103"/>
      <c r="K390" s="102">
        <v>56</v>
      </c>
      <c r="L390" s="102">
        <v>19</v>
      </c>
      <c r="M390" s="102"/>
      <c r="N390" s="102"/>
      <c r="O390" s="102"/>
      <c r="P390" s="56">
        <f>AVERAGE(K390:O390)</f>
        <v>37.5</v>
      </c>
      <c r="Q390" s="25" t="s">
        <v>283</v>
      </c>
      <c r="R390" s="22"/>
      <c r="S390" s="132">
        <f>T390-X390</f>
        <v>2705</v>
      </c>
      <c r="T390" s="42">
        <v>8403</v>
      </c>
      <c r="U390" s="42">
        <v>7660</v>
      </c>
      <c r="V390" s="42">
        <v>6013</v>
      </c>
      <c r="W390" s="42">
        <v>5789</v>
      </c>
      <c r="X390" s="42">
        <v>5698</v>
      </c>
      <c r="Y390" s="53">
        <f>AVERAGE(T390:X390)</f>
        <v>6712.6</v>
      </c>
      <c r="AH390" s="137"/>
      <c r="AI390" s="25" t="s">
        <v>283</v>
      </c>
      <c r="AJ390" s="22"/>
      <c r="AK390" s="132">
        <f>AL390-AO390</f>
        <v>-5322</v>
      </c>
      <c r="AL390" s="42">
        <v>4</v>
      </c>
      <c r="AM390" s="42">
        <v>5422</v>
      </c>
      <c r="AN390" s="42">
        <v>5202</v>
      </c>
      <c r="AO390" s="42">
        <v>5326</v>
      </c>
      <c r="AP390" s="42">
        <v>0</v>
      </c>
      <c r="AQ390" s="53">
        <f>AVERAGE(AL390:AP390)</f>
        <v>3190.8</v>
      </c>
      <c r="AR390" s="60"/>
      <c r="AS390" s="60"/>
      <c r="AT390" s="60"/>
      <c r="AU390" s="60"/>
      <c r="AV390" s="60"/>
      <c r="AW390" s="60"/>
      <c r="AX390" s="60"/>
      <c r="AY390" s="60"/>
      <c r="AZ390" s="137"/>
      <c r="BA390" s="25" t="s">
        <v>283</v>
      </c>
      <c r="BB390" s="22"/>
      <c r="BC390" s="132">
        <f>BD391-BH390</f>
        <v>-6524</v>
      </c>
      <c r="BD390" s="42">
        <v>7162</v>
      </c>
      <c r="BE390" s="42">
        <v>7708</v>
      </c>
      <c r="BF390" s="42">
        <v>6556</v>
      </c>
      <c r="BG390" s="42">
        <v>7100</v>
      </c>
      <c r="BH390" s="42">
        <v>7220</v>
      </c>
      <c r="BI390" s="53">
        <f>AVERAGE(BD390:BH390)</f>
        <v>7149.2</v>
      </c>
    </row>
    <row r="391" spans="8:61" ht="12">
      <c r="H391" s="58" t="s">
        <v>64</v>
      </c>
      <c r="I391" s="58"/>
      <c r="J391" s="103"/>
      <c r="K391" s="102">
        <v>29</v>
      </c>
      <c r="L391" s="102">
        <v>56</v>
      </c>
      <c r="M391" s="102">
        <v>19</v>
      </c>
      <c r="N391" s="102"/>
      <c r="O391" s="102"/>
      <c r="P391" s="56">
        <f>AVERAGE(K391:O391)</f>
        <v>34.666666666666664</v>
      </c>
      <c r="Q391" s="133" t="s">
        <v>284</v>
      </c>
      <c r="R391" s="133"/>
      <c r="S391" s="132">
        <f>T391-X391</f>
        <v>742</v>
      </c>
      <c r="T391" s="42">
        <v>4797</v>
      </c>
      <c r="U391" s="42">
        <v>4658</v>
      </c>
      <c r="V391" s="42">
        <v>4331</v>
      </c>
      <c r="W391" s="42">
        <v>4295</v>
      </c>
      <c r="X391" s="42">
        <v>4055</v>
      </c>
      <c r="Y391" s="53">
        <f>AVERAGE(T391:X391)</f>
        <v>4427.2</v>
      </c>
      <c r="AC391" s="28" t="s">
        <v>71</v>
      </c>
      <c r="AD391" s="28" t="s">
        <v>71</v>
      </c>
      <c r="AE391" s="28" t="s">
        <v>71</v>
      </c>
      <c r="AF391" s="28" t="s">
        <v>71</v>
      </c>
      <c r="AG391" s="28" t="s">
        <v>71</v>
      </c>
      <c r="AH391" s="138" t="s">
        <v>71</v>
      </c>
      <c r="AI391" s="133" t="s">
        <v>284</v>
      </c>
      <c r="AK391" s="132">
        <f>AL391-AP391</f>
        <v>-4196</v>
      </c>
      <c r="AL391" s="42">
        <v>52</v>
      </c>
      <c r="AM391" s="42">
        <v>1998</v>
      </c>
      <c r="AN391" s="42">
        <v>2186</v>
      </c>
      <c r="AO391" s="42">
        <v>2312</v>
      </c>
      <c r="AP391" s="42">
        <v>4248</v>
      </c>
      <c r="AQ391" s="53">
        <f>AVERAGE(AL391:AP391)</f>
        <v>2159.2</v>
      </c>
      <c r="AR391" s="60"/>
      <c r="AS391" s="60"/>
      <c r="AT391" s="60"/>
      <c r="AU391" s="62" t="s">
        <v>71</v>
      </c>
      <c r="AV391" s="62" t="s">
        <v>71</v>
      </c>
      <c r="AW391" s="62" t="s">
        <v>71</v>
      </c>
      <c r="AX391" s="62" t="s">
        <v>71</v>
      </c>
      <c r="AY391" s="62" t="s">
        <v>71</v>
      </c>
      <c r="AZ391" s="138" t="s">
        <v>71</v>
      </c>
      <c r="BA391" s="133" t="s">
        <v>284</v>
      </c>
      <c r="BC391" s="132">
        <f>BD390-BH391</f>
        <v>5762</v>
      </c>
      <c r="BD391" s="42">
        <v>696</v>
      </c>
      <c r="BE391" s="42">
        <v>768</v>
      </c>
      <c r="BF391" s="42">
        <v>710</v>
      </c>
      <c r="BG391" s="42">
        <v>804</v>
      </c>
      <c r="BH391" s="42">
        <v>1400</v>
      </c>
      <c r="BI391" s="53">
        <f>AVERAGE(BD391:BH391)</f>
        <v>875.6</v>
      </c>
    </row>
    <row r="392" spans="8:61" ht="12">
      <c r="H392" s="58"/>
      <c r="I392" s="58"/>
      <c r="J392" s="58"/>
      <c r="K392" s="58"/>
      <c r="L392" s="58"/>
      <c r="M392" s="58"/>
      <c r="N392" s="58"/>
      <c r="O392" s="58"/>
      <c r="P392" s="27"/>
      <c r="R392" s="22"/>
      <c r="S392" s="132"/>
      <c r="T392" s="42"/>
      <c r="U392" s="42"/>
      <c r="V392" s="42"/>
      <c r="W392" s="42"/>
      <c r="X392" s="42"/>
      <c r="Y392" s="53"/>
      <c r="Z392" s="22"/>
      <c r="AA392" s="22"/>
      <c r="AB392" s="22"/>
      <c r="AC392" s="28" t="s">
        <v>68</v>
      </c>
      <c r="AD392" s="28" t="s">
        <v>68</v>
      </c>
      <c r="AE392" s="28" t="s">
        <v>68</v>
      </c>
      <c r="AF392" s="28" t="s">
        <v>68</v>
      </c>
      <c r="AG392" s="28" t="s">
        <v>68</v>
      </c>
      <c r="AH392" s="138" t="s">
        <v>68</v>
      </c>
      <c r="AI392" s="25"/>
      <c r="AJ392" s="22"/>
      <c r="AK392" s="132"/>
      <c r="AL392" s="25"/>
      <c r="AM392" s="25"/>
      <c r="AN392" s="25"/>
      <c r="AO392" s="25"/>
      <c r="AP392" s="25"/>
      <c r="AQ392" s="53"/>
      <c r="AR392" s="64"/>
      <c r="AS392" s="64"/>
      <c r="AT392" s="64"/>
      <c r="AU392" s="62" t="s">
        <v>68</v>
      </c>
      <c r="AV392" s="62" t="s">
        <v>68</v>
      </c>
      <c r="AW392" s="62" t="s">
        <v>68</v>
      </c>
      <c r="AX392" s="62" t="s">
        <v>68</v>
      </c>
      <c r="AY392" s="62" t="s">
        <v>68</v>
      </c>
      <c r="AZ392" s="138" t="s">
        <v>68</v>
      </c>
      <c r="BA392" s="25"/>
      <c r="BB392" s="22"/>
      <c r="BC392" s="132"/>
      <c r="BF392" s="42"/>
      <c r="BG392" s="42"/>
      <c r="BH392" s="42"/>
      <c r="BI392" s="53"/>
    </row>
    <row r="393" spans="8:52" ht="12">
      <c r="H393" s="58"/>
      <c r="I393" s="58"/>
      <c r="J393" s="58"/>
      <c r="K393" s="55" t="s">
        <v>71</v>
      </c>
      <c r="L393" s="55" t="s">
        <v>71</v>
      </c>
      <c r="M393" s="55" t="s">
        <v>71</v>
      </c>
      <c r="N393" s="55" t="s">
        <v>71</v>
      </c>
      <c r="O393" s="55" t="s">
        <v>71</v>
      </c>
      <c r="P393" s="30" t="s">
        <v>71</v>
      </c>
      <c r="Z393" s="22" t="s">
        <v>102</v>
      </c>
      <c r="AB393" s="132">
        <f>AC393-AG393</f>
        <v>2087</v>
      </c>
      <c r="AC393" s="42">
        <f>AC365-AC366</f>
        <v>5349</v>
      </c>
      <c r="AD393" s="42">
        <f>AD365-AD366</f>
        <v>5227</v>
      </c>
      <c r="AE393" s="42">
        <f>AE365-AE366</f>
        <v>4765</v>
      </c>
      <c r="AF393" s="42">
        <f>AF365-AF366</f>
        <v>6252</v>
      </c>
      <c r="AG393" s="42">
        <f>AG365-AG366</f>
        <v>3262</v>
      </c>
      <c r="AH393" s="53">
        <f>AVERAGE(AC393:AG393)</f>
        <v>4971</v>
      </c>
      <c r="AR393" s="64" t="s">
        <v>102</v>
      </c>
      <c r="AS393" s="60"/>
      <c r="AT393" s="132">
        <f>AU393-AY393</f>
        <v>34</v>
      </c>
      <c r="AU393" s="65">
        <f>AU365-AU366</f>
        <v>5523</v>
      </c>
      <c r="AV393" s="65">
        <f>AV365-AV366</f>
        <v>6233</v>
      </c>
      <c r="AW393" s="65">
        <f>AW365-AW366</f>
        <v>5498</v>
      </c>
      <c r="AX393" s="65">
        <f>AX365-AX366</f>
        <v>5143</v>
      </c>
      <c r="AY393" s="65">
        <f>AY365-AY366</f>
        <v>5489</v>
      </c>
      <c r="AZ393" s="53">
        <f>AVERAGE(AU393:AY393)</f>
        <v>5577.2</v>
      </c>
    </row>
    <row r="394" spans="8:52" ht="12">
      <c r="H394" s="101"/>
      <c r="I394" s="101"/>
      <c r="J394" s="101"/>
      <c r="K394" s="55" t="s">
        <v>68</v>
      </c>
      <c r="L394" s="55" t="s">
        <v>68</v>
      </c>
      <c r="M394" s="55" t="s">
        <v>68</v>
      </c>
      <c r="N394" s="55" t="s">
        <v>68</v>
      </c>
      <c r="O394" s="55" t="s">
        <v>68</v>
      </c>
      <c r="P394" s="30" t="s">
        <v>68</v>
      </c>
      <c r="Z394" s="22" t="s">
        <v>104</v>
      </c>
      <c r="AB394" s="132">
        <f>AC394-AG394</f>
        <v>-2877</v>
      </c>
      <c r="AC394" s="42">
        <f>AC370-AC393</f>
        <v>-2021</v>
      </c>
      <c r="AD394" s="42">
        <f>AD370-AD393</f>
        <v>-1967</v>
      </c>
      <c r="AE394" s="42">
        <f>AE370-AE393</f>
        <v>-333</v>
      </c>
      <c r="AF394" s="42">
        <f>AF370-AF393</f>
        <v>-2658</v>
      </c>
      <c r="AG394" s="42">
        <f>AG370-AG393</f>
        <v>856</v>
      </c>
      <c r="AH394" s="53">
        <f>AVERAGE(AC394:AG394)</f>
        <v>-1224.6</v>
      </c>
      <c r="AR394" s="64" t="s">
        <v>104</v>
      </c>
      <c r="AS394" s="60"/>
      <c r="AT394" s="132">
        <f>AU394-AY394</f>
        <v>-217</v>
      </c>
      <c r="AU394" s="65">
        <f>AU370-AU393</f>
        <v>-1386</v>
      </c>
      <c r="AV394" s="65">
        <f>AV370-AV393</f>
        <v>-2425</v>
      </c>
      <c r="AW394" s="65">
        <f>AW370-AW393</f>
        <v>-1802</v>
      </c>
      <c r="AX394" s="65">
        <f>AX370-AX393</f>
        <v>-1293</v>
      </c>
      <c r="AY394" s="65">
        <f>AY370-AY393</f>
        <v>-1169</v>
      </c>
      <c r="AZ394" s="53">
        <f>AVERAGE(AU394:AY394)</f>
        <v>-1615</v>
      </c>
    </row>
    <row r="395" spans="8:61" ht="12">
      <c r="H395" s="101" t="s">
        <v>102</v>
      </c>
      <c r="I395" s="58"/>
      <c r="J395" s="58"/>
      <c r="K395" s="102">
        <f>K367-K368</f>
        <v>3015</v>
      </c>
      <c r="L395" s="102">
        <f>L367-L368</f>
        <v>2164</v>
      </c>
      <c r="M395" s="102">
        <f>M367-M368</f>
        <v>2045</v>
      </c>
      <c r="N395" s="102">
        <f>N367-N368</f>
        <v>2161</v>
      </c>
      <c r="O395" s="102">
        <f>O367-O368</f>
        <v>1873</v>
      </c>
      <c r="P395" s="56">
        <f>AVERAGE(K395:O395)</f>
        <v>2251.6</v>
      </c>
      <c r="T395" s="28" t="s">
        <v>71</v>
      </c>
      <c r="U395" s="28" t="s">
        <v>71</v>
      </c>
      <c r="V395" s="28" t="s">
        <v>71</v>
      </c>
      <c r="W395" s="28" t="s">
        <v>71</v>
      </c>
      <c r="X395" s="28" t="s">
        <v>71</v>
      </c>
      <c r="Y395" s="138" t="s">
        <v>71</v>
      </c>
      <c r="Z395" s="22"/>
      <c r="AC395" s="33"/>
      <c r="AD395" s="33"/>
      <c r="AE395" s="33"/>
      <c r="AF395" s="33"/>
      <c r="AG395" s="33"/>
      <c r="AH395" s="140"/>
      <c r="AI395" s="25"/>
      <c r="AJ395" s="25"/>
      <c r="AK395" s="25"/>
      <c r="AL395" s="28" t="s">
        <v>71</v>
      </c>
      <c r="AM395" s="28" t="s">
        <v>71</v>
      </c>
      <c r="AN395" s="28" t="s">
        <v>71</v>
      </c>
      <c r="AO395" s="28" t="s">
        <v>71</v>
      </c>
      <c r="AP395" s="28" t="s">
        <v>71</v>
      </c>
      <c r="AQ395" s="138" t="s">
        <v>71</v>
      </c>
      <c r="AR395" s="64"/>
      <c r="AS395" s="60"/>
      <c r="AT395" s="60"/>
      <c r="AU395" s="69"/>
      <c r="AV395" s="69"/>
      <c r="AW395" s="69"/>
      <c r="AX395" s="69"/>
      <c r="AY395" s="69"/>
      <c r="AZ395" s="140"/>
      <c r="BD395" s="143" t="s">
        <v>71</v>
      </c>
      <c r="BE395" s="143" t="s">
        <v>71</v>
      </c>
      <c r="BF395" s="143" t="s">
        <v>71</v>
      </c>
      <c r="BG395" s="143" t="s">
        <v>71</v>
      </c>
      <c r="BH395" s="143" t="s">
        <v>71</v>
      </c>
      <c r="BI395" s="138" t="s">
        <v>71</v>
      </c>
    </row>
    <row r="396" spans="8:61" ht="12">
      <c r="H396" s="101" t="s">
        <v>103</v>
      </c>
      <c r="I396" s="58"/>
      <c r="J396" s="58"/>
      <c r="K396" s="102">
        <f>K372-K373</f>
        <v>870.3</v>
      </c>
      <c r="L396" s="102">
        <f>L372-L373</f>
        <v>693</v>
      </c>
      <c r="M396" s="102">
        <f>M372-M373</f>
        <v>634</v>
      </c>
      <c r="N396" s="102">
        <f>N372-N373</f>
        <v>604</v>
      </c>
      <c r="O396" s="102">
        <f>O372-O373</f>
        <v>381</v>
      </c>
      <c r="P396" s="56">
        <f>AVERAGE(K396:O396)</f>
        <v>636.46</v>
      </c>
      <c r="Q396" s="22"/>
      <c r="R396" s="22"/>
      <c r="S396" s="22"/>
      <c r="T396" s="28" t="s">
        <v>38</v>
      </c>
      <c r="U396" s="28" t="s">
        <v>38</v>
      </c>
      <c r="V396" s="28" t="s">
        <v>38</v>
      </c>
      <c r="W396" s="28" t="s">
        <v>38</v>
      </c>
      <c r="X396" s="28" t="s">
        <v>38</v>
      </c>
      <c r="Y396" s="143" t="s">
        <v>38</v>
      </c>
      <c r="Z396" s="22"/>
      <c r="AC396" s="33"/>
      <c r="AD396" s="33"/>
      <c r="AE396" s="33"/>
      <c r="AF396" s="33"/>
      <c r="AG396" s="33"/>
      <c r="AH396" s="140"/>
      <c r="AI396" s="22"/>
      <c r="AJ396" s="22"/>
      <c r="AK396" s="22"/>
      <c r="AL396" s="28" t="s">
        <v>38</v>
      </c>
      <c r="AM396" s="28" t="s">
        <v>38</v>
      </c>
      <c r="AN396" s="28" t="s">
        <v>38</v>
      </c>
      <c r="AO396" s="28" t="s">
        <v>38</v>
      </c>
      <c r="AP396" s="28" t="s">
        <v>38</v>
      </c>
      <c r="AQ396" s="143" t="s">
        <v>38</v>
      </c>
      <c r="AR396" s="64"/>
      <c r="AS396" s="60"/>
      <c r="AT396" s="60"/>
      <c r="AU396" s="69"/>
      <c r="AV396" s="69"/>
      <c r="AW396" s="69"/>
      <c r="AX396" s="69"/>
      <c r="AY396" s="69"/>
      <c r="AZ396" s="140"/>
      <c r="BA396" s="139"/>
      <c r="BB396" s="139"/>
      <c r="BC396" s="139"/>
      <c r="BD396" s="143" t="s">
        <v>38</v>
      </c>
      <c r="BE396" s="143" t="s">
        <v>38</v>
      </c>
      <c r="BF396" s="143" t="s">
        <v>38</v>
      </c>
      <c r="BG396" s="143" t="s">
        <v>38</v>
      </c>
      <c r="BH396" s="143" t="s">
        <v>38</v>
      </c>
      <c r="BI396" s="143" t="s">
        <v>38</v>
      </c>
    </row>
    <row r="397" spans="8:61" ht="12">
      <c r="H397" s="101" t="s">
        <v>104</v>
      </c>
      <c r="I397" s="58"/>
      <c r="J397" s="58"/>
      <c r="K397" s="102">
        <f>K372-K395</f>
        <v>-1393.7</v>
      </c>
      <c r="L397" s="102">
        <f>L372-L395</f>
        <v>-879</v>
      </c>
      <c r="M397" s="102">
        <f>M372-M395</f>
        <v>-858</v>
      </c>
      <c r="N397" s="102">
        <f>N372-N395</f>
        <v>-1047</v>
      </c>
      <c r="O397" s="102">
        <f>O372-O395</f>
        <v>-1176</v>
      </c>
      <c r="P397" s="56">
        <f>AVERAGE(K397:O397)</f>
        <v>-1070.74</v>
      </c>
      <c r="Q397" s="22" t="s">
        <v>102</v>
      </c>
      <c r="S397" s="132">
        <f>T397-X397</f>
        <v>-74</v>
      </c>
      <c r="T397" s="42">
        <f>T365-T366</f>
        <v>20806</v>
      </c>
      <c r="U397" s="42">
        <f>U365-U366</f>
        <v>21203</v>
      </c>
      <c r="V397" s="42">
        <f>V365-V366</f>
        <v>22323</v>
      </c>
      <c r="W397" s="42">
        <f>W365-W366</f>
        <v>22591</v>
      </c>
      <c r="X397" s="42">
        <f>X365-X366</f>
        <v>20880</v>
      </c>
      <c r="Y397" s="53">
        <f>AVERAGE(T397:X397)</f>
        <v>21560.6</v>
      </c>
      <c r="Z397" s="22"/>
      <c r="AC397" s="33"/>
      <c r="AD397" s="33"/>
      <c r="AE397" s="33"/>
      <c r="AF397" s="33"/>
      <c r="AG397" s="33"/>
      <c r="AH397" s="140"/>
      <c r="AI397" s="22" t="s">
        <v>102</v>
      </c>
      <c r="AJ397" s="25"/>
      <c r="AK397" s="132">
        <f>AL397-AP397</f>
        <v>4174</v>
      </c>
      <c r="AL397" s="42">
        <f>AL365-AL366</f>
        <v>10698</v>
      </c>
      <c r="AM397" s="42">
        <f>AM365-AM366</f>
        <v>10454</v>
      </c>
      <c r="AN397" s="42">
        <f>AN365-AN366</f>
        <v>9530</v>
      </c>
      <c r="AO397" s="42">
        <f>AO365-AO366</f>
        <v>12504</v>
      </c>
      <c r="AP397" s="42">
        <f>AP365-AP366</f>
        <v>6524</v>
      </c>
      <c r="AQ397" s="53">
        <f>AVERAGE(AL397:AP397)</f>
        <v>9942</v>
      </c>
      <c r="AR397" s="64"/>
      <c r="AS397" s="60"/>
      <c r="AT397" s="60"/>
      <c r="AU397" s="69"/>
      <c r="AV397" s="69"/>
      <c r="AW397" s="69"/>
      <c r="AX397" s="69"/>
      <c r="AY397" s="69"/>
      <c r="AZ397" s="140"/>
      <c r="BA397" s="139" t="s">
        <v>102</v>
      </c>
      <c r="BC397" s="146">
        <f>BD397-BH397</f>
        <v>68</v>
      </c>
      <c r="BD397" s="147">
        <f>BD364-BD365</f>
        <v>11046</v>
      </c>
      <c r="BE397" s="147">
        <f>BE364-BE365</f>
        <v>12466</v>
      </c>
      <c r="BF397" s="147">
        <f>BF364-BF365</f>
        <v>10996</v>
      </c>
      <c r="BG397" s="147">
        <f>BG364-BG365</f>
        <v>10286</v>
      </c>
      <c r="BH397" s="147">
        <f>BH364-BH365</f>
        <v>10978</v>
      </c>
      <c r="BI397" s="53">
        <f>AVERAGE(BD397:BH397)</f>
        <v>11154.4</v>
      </c>
    </row>
    <row r="398" spans="8:61" ht="12">
      <c r="H398" s="101"/>
      <c r="I398" s="58"/>
      <c r="J398" s="58"/>
      <c r="K398" s="104"/>
      <c r="L398" s="104"/>
      <c r="M398" s="104"/>
      <c r="N398" s="104"/>
      <c r="O398" s="104"/>
      <c r="P398" s="34"/>
      <c r="Q398" s="22" t="s">
        <v>104</v>
      </c>
      <c r="S398" s="44">
        <f>T398-X398</f>
        <v>0.4408315111725436</v>
      </c>
      <c r="T398" s="33">
        <f>T370/T397</f>
        <v>1.5075939632798232</v>
      </c>
      <c r="U398" s="33">
        <f>U370/U397</f>
        <v>1.3041550723954158</v>
      </c>
      <c r="V398" s="33">
        <f>V370/V397</f>
        <v>1.1464856874076066</v>
      </c>
      <c r="W398" s="33">
        <f>W370/W397</f>
        <v>1.022663892700633</v>
      </c>
      <c r="X398" s="33">
        <f>X370/X397</f>
        <v>1.0667624521072796</v>
      </c>
      <c r="Y398" s="140">
        <f>AVERAGE(T398:X398)</f>
        <v>1.2095322135781517</v>
      </c>
      <c r="Z398" s="22"/>
      <c r="AC398" s="48" t="s">
        <v>105</v>
      </c>
      <c r="AD398" s="48" t="s">
        <v>105</v>
      </c>
      <c r="AE398" s="48" t="s">
        <v>105</v>
      </c>
      <c r="AF398" s="48" t="s">
        <v>105</v>
      </c>
      <c r="AG398" s="48" t="s">
        <v>105</v>
      </c>
      <c r="AH398" s="141" t="s">
        <v>105</v>
      </c>
      <c r="AI398" s="22" t="s">
        <v>104</v>
      </c>
      <c r="AJ398" s="25"/>
      <c r="AK398" s="44">
        <f>AL398-AP398</f>
        <v>-0.6402433272250501</v>
      </c>
      <c r="AL398" s="33">
        <f>AL370/AL397</f>
        <v>0.6221723686670406</v>
      </c>
      <c r="AM398" s="33">
        <f>AM370/AM397</f>
        <v>0.6236847139850775</v>
      </c>
      <c r="AN398" s="33">
        <f>AN370/AN397</f>
        <v>0.9301154249737671</v>
      </c>
      <c r="AO398" s="33">
        <f>AO370/AO397</f>
        <v>0.5748560460652591</v>
      </c>
      <c r="AP398" s="33">
        <f>AP370/AP397</f>
        <v>1.2624156958920907</v>
      </c>
      <c r="AQ398" s="140">
        <f>AVERAGE(AL398:AP398)</f>
        <v>0.8026488499166471</v>
      </c>
      <c r="AR398" s="64"/>
      <c r="AS398" s="60"/>
      <c r="AT398" s="60"/>
      <c r="AU398" s="70" t="s">
        <v>105</v>
      </c>
      <c r="AV398" s="70" t="s">
        <v>105</v>
      </c>
      <c r="AW398" s="70" t="s">
        <v>105</v>
      </c>
      <c r="AX398" s="70" t="s">
        <v>105</v>
      </c>
      <c r="AY398" s="70" t="s">
        <v>105</v>
      </c>
      <c r="AZ398" s="141" t="s">
        <v>105</v>
      </c>
      <c r="BA398" s="139" t="s">
        <v>104</v>
      </c>
      <c r="BC398" s="148">
        <f>BD398-BH398</f>
        <v>-0.03797917300207054</v>
      </c>
      <c r="BD398" s="149">
        <f>BD369/BD397</f>
        <v>0.7490494296577946</v>
      </c>
      <c r="BE398" s="149">
        <f>BE369/BE397</f>
        <v>0.6109417615915289</v>
      </c>
      <c r="BF398" s="149">
        <f>BF369/BF397</f>
        <v>0.6722444525281921</v>
      </c>
      <c r="BG398" s="149">
        <f>BG369/BG397</f>
        <v>0.7485903169356407</v>
      </c>
      <c r="BH398" s="149">
        <f>BH369/BH397</f>
        <v>0.7870286026598652</v>
      </c>
      <c r="BI398" s="140">
        <f>AVERAGE(BD398:BH398)</f>
        <v>0.7135709126746044</v>
      </c>
    </row>
    <row r="399" spans="8:61" ht="12">
      <c r="H399" s="101"/>
      <c r="I399" s="58"/>
      <c r="J399" s="58"/>
      <c r="K399" s="104"/>
      <c r="L399" s="104"/>
      <c r="M399" s="104"/>
      <c r="N399" s="104"/>
      <c r="O399" s="104"/>
      <c r="P399" s="34"/>
      <c r="Q399" s="22"/>
      <c r="T399" s="33"/>
      <c r="U399" s="33"/>
      <c r="V399" s="33"/>
      <c r="W399" s="33"/>
      <c r="X399" s="33"/>
      <c r="Y399" s="140"/>
      <c r="Z399" s="22" t="s">
        <v>53</v>
      </c>
      <c r="AB399" s="44">
        <f aca="true" t="shared" si="182" ref="AB399:AB405">AC399-AG399</f>
        <v>-22.96264571075072</v>
      </c>
      <c r="AC399" s="51">
        <f>(AC367/AC393)*100</f>
        <v>66.46102075154235</v>
      </c>
      <c r="AD399" s="51">
        <f>(AD367/AD393)*100</f>
        <v>71.83853070594988</v>
      </c>
      <c r="AE399" s="51">
        <f>(AE367/AE393)*100</f>
        <v>75.88667366211962</v>
      </c>
      <c r="AF399" s="51">
        <f>(AF367/AF393)*100</f>
        <v>56.01407549584133</v>
      </c>
      <c r="AG399" s="51">
        <f>(AG367/AG393)*100</f>
        <v>89.42366646229307</v>
      </c>
      <c r="AH399" s="140">
        <f aca="true" t="shared" si="183" ref="AH399:AH405">AVERAGE(AC399:AG399)</f>
        <v>71.92479341554925</v>
      </c>
      <c r="AI399" s="22"/>
      <c r="AJ399" s="25"/>
      <c r="AK399" s="25"/>
      <c r="AL399" s="33"/>
      <c r="AM399" s="33"/>
      <c r="AN399" s="33"/>
      <c r="AO399" s="33"/>
      <c r="AP399" s="33"/>
      <c r="AQ399" s="140"/>
      <c r="AR399" s="64" t="s">
        <v>53</v>
      </c>
      <c r="AS399" s="60"/>
      <c r="AT399" s="132">
        <f aca="true" t="shared" si="184" ref="AT399:AT405">AU399-AY399</f>
        <v>4.099635084037345</v>
      </c>
      <c r="AU399" s="72">
        <f>(AU367/AU393)*100</f>
        <v>64.62067716820569</v>
      </c>
      <c r="AV399" s="72">
        <f>(AV367/AV393)*100</f>
        <v>62.04075084229104</v>
      </c>
      <c r="AW399" s="72">
        <f>(AW367/AW393)*100</f>
        <v>64.82357220807566</v>
      </c>
      <c r="AX399" s="72">
        <f>(AX367/AX393)*100</f>
        <v>69.51195800116663</v>
      </c>
      <c r="AY399" s="72">
        <f>(AY367/AY393)*100</f>
        <v>60.52104208416834</v>
      </c>
      <c r="AZ399" s="140">
        <f aca="true" t="shared" si="185" ref="AZ399:AZ405">AVERAGE(AU399:AY399)</f>
        <v>64.30360006078148</v>
      </c>
      <c r="BA399" s="139"/>
      <c r="BD399" s="149"/>
      <c r="BE399" s="149"/>
      <c r="BF399" s="149"/>
      <c r="BG399" s="149"/>
      <c r="BH399" s="149"/>
      <c r="BI399" s="140"/>
    </row>
    <row r="400" spans="8:61" ht="12">
      <c r="H400" s="101"/>
      <c r="I400" s="58"/>
      <c r="J400" s="58"/>
      <c r="K400" s="104"/>
      <c r="L400" s="104"/>
      <c r="M400" s="104"/>
      <c r="N400" s="104"/>
      <c r="O400" s="104"/>
      <c r="P400" s="34"/>
      <c r="Q400" s="22"/>
      <c r="T400" s="48" t="s">
        <v>105</v>
      </c>
      <c r="U400" s="48" t="s">
        <v>105</v>
      </c>
      <c r="V400" s="48" t="s">
        <v>105</v>
      </c>
      <c r="W400" s="48" t="s">
        <v>105</v>
      </c>
      <c r="X400" s="48" t="s">
        <v>105</v>
      </c>
      <c r="Y400" s="141" t="s">
        <v>105</v>
      </c>
      <c r="Z400" s="22" t="s">
        <v>54</v>
      </c>
      <c r="AB400" s="44">
        <f t="shared" si="182"/>
        <v>-2.185895653785562</v>
      </c>
      <c r="AC400" s="51">
        <f>AC372/AC373</f>
        <v>2.4403669724770642</v>
      </c>
      <c r="AD400" s="51">
        <f>AD372/AD373</f>
        <v>3</v>
      </c>
      <c r="AE400" s="51">
        <f>AE372/AE373</f>
        <v>1.5242718446601942</v>
      </c>
      <c r="AF400" s="51">
        <f>AF372/AF373</f>
        <v>1.681159420289855</v>
      </c>
      <c r="AG400" s="51">
        <f>AG372/AG373</f>
        <v>4.626262626262626</v>
      </c>
      <c r="AH400" s="140">
        <f t="shared" si="183"/>
        <v>2.654412172737948</v>
      </c>
      <c r="AI400" s="22"/>
      <c r="AJ400" s="25"/>
      <c r="AK400" s="25"/>
      <c r="AL400" s="48" t="s">
        <v>105</v>
      </c>
      <c r="AM400" s="48" t="s">
        <v>105</v>
      </c>
      <c r="AN400" s="48" t="s">
        <v>105</v>
      </c>
      <c r="AO400" s="48" t="s">
        <v>105</v>
      </c>
      <c r="AP400" s="48" t="s">
        <v>105</v>
      </c>
      <c r="AQ400" s="141" t="s">
        <v>105</v>
      </c>
      <c r="AR400" s="64" t="s">
        <v>54</v>
      </c>
      <c r="AS400" s="60"/>
      <c r="AT400" s="132">
        <f t="shared" si="184"/>
        <v>-20.17869034406215</v>
      </c>
      <c r="AU400" s="72">
        <f>AU372/-AU373</f>
        <v>-20.943396226415093</v>
      </c>
      <c r="AV400" s="72">
        <f>AV372/-AV373</f>
        <v>-20.00990099009901</v>
      </c>
      <c r="AW400" s="72">
        <f>AW372/-AW373</f>
        <v>-19.459183673469386</v>
      </c>
      <c r="AX400" s="72">
        <f>AX372/-AX373</f>
        <v>-23.03448275862069</v>
      </c>
      <c r="AY400" s="72">
        <f>AY372/-AY373</f>
        <v>-0.7647058823529411</v>
      </c>
      <c r="AZ400" s="140">
        <f t="shared" si="185"/>
        <v>-16.84233390619142</v>
      </c>
      <c r="BA400" s="139"/>
      <c r="BC400" s="25"/>
      <c r="BD400" s="25"/>
      <c r="BE400" s="25"/>
      <c r="BF400" s="25"/>
      <c r="BG400" s="25"/>
      <c r="BH400" s="25"/>
      <c r="BI400" s="25"/>
    </row>
    <row r="401" spans="8:61" ht="12">
      <c r="H401" s="101"/>
      <c r="I401" s="58"/>
      <c r="J401" s="58"/>
      <c r="K401" s="105" t="s">
        <v>105</v>
      </c>
      <c r="L401" s="105" t="s">
        <v>105</v>
      </c>
      <c r="M401" s="105" t="s">
        <v>105</v>
      </c>
      <c r="N401" s="105" t="s">
        <v>105</v>
      </c>
      <c r="O401" s="105" t="s">
        <v>105</v>
      </c>
      <c r="P401" s="50" t="s">
        <v>105</v>
      </c>
      <c r="Q401" s="22" t="s">
        <v>53</v>
      </c>
      <c r="S401" s="44">
        <f aca="true" t="shared" si="186" ref="S401:S407">T401-X401</f>
        <v>12.722586286080897</v>
      </c>
      <c r="T401" s="51">
        <f>(T367/T397)*100</f>
        <v>101.9946169374219</v>
      </c>
      <c r="U401" s="51">
        <f>(U367/U397)*100</f>
        <v>98.43418384190916</v>
      </c>
      <c r="V401" s="51">
        <f>(V367/V397)*100</f>
        <v>88.74255252430228</v>
      </c>
      <c r="W401" s="51">
        <f>(W367/W397)*100</f>
        <v>82.40007082466468</v>
      </c>
      <c r="X401" s="51">
        <f>(X367/X397)*100</f>
        <v>89.272030651341</v>
      </c>
      <c r="Y401" s="140">
        <f aca="true" t="shared" si="187" ref="Y401:Y407">AVERAGE(T401:X401)</f>
        <v>92.16869095592781</v>
      </c>
      <c r="Z401" s="22" t="s">
        <v>97</v>
      </c>
      <c r="AB401" s="44">
        <f t="shared" si="182"/>
        <v>-6.102417027810168</v>
      </c>
      <c r="AC401" s="51">
        <f>(AC375/AC368)*100</f>
        <v>5.6682577565632455</v>
      </c>
      <c r="AD401" s="51">
        <f>(AD375/AD368)*100</f>
        <v>6.533158240315168</v>
      </c>
      <c r="AE401" s="51">
        <f>(AE375/AE368)*100</f>
        <v>2.1587998536406876</v>
      </c>
      <c r="AF401" s="51">
        <f>(AF375/AF368)*100</f>
        <v>1.4920194309507286</v>
      </c>
      <c r="AG401" s="51">
        <f>(AG375/AG368)*100</f>
        <v>11.770674784373414</v>
      </c>
      <c r="AH401" s="140">
        <f t="shared" si="183"/>
        <v>5.524582013168649</v>
      </c>
      <c r="AI401" s="22" t="s">
        <v>53</v>
      </c>
      <c r="AJ401" s="25"/>
      <c r="AK401" s="44">
        <f aca="true" t="shared" si="188" ref="AK401:AK407">AL401-AP401</f>
        <v>-22.96264571075072</v>
      </c>
      <c r="AL401" s="51">
        <f>(AL367/AL397)*100</f>
        <v>66.46102075154235</v>
      </c>
      <c r="AM401" s="51">
        <f>(AM367/AM397)*100</f>
        <v>71.83853070594988</v>
      </c>
      <c r="AN401" s="51">
        <f>(AN367/AN397)*100</f>
        <v>75.88667366211962</v>
      </c>
      <c r="AO401" s="51">
        <f>(AO367/AO397)*100</f>
        <v>56.01407549584133</v>
      </c>
      <c r="AP401" s="51">
        <f>(AP367/AP397)*100</f>
        <v>89.42366646229307</v>
      </c>
      <c r="AQ401" s="140">
        <f aca="true" t="shared" si="189" ref="AQ401:AQ407">AVERAGE(AL401:AP401)</f>
        <v>71.92479341554925</v>
      </c>
      <c r="AR401" s="64" t="s">
        <v>97</v>
      </c>
      <c r="AS401" s="60"/>
      <c r="AT401" s="132">
        <f t="shared" si="184"/>
        <v>15.007525273413085</v>
      </c>
      <c r="AU401" s="72">
        <f>(AU375/AU368)*100</f>
        <v>12.486278814489573</v>
      </c>
      <c r="AV401" s="72">
        <f>(AV375/AV368)*100</f>
        <v>8.840075006697026</v>
      </c>
      <c r="AW401" s="72">
        <f>(AW375/AW368)*100</f>
        <v>8.69276708692767</v>
      </c>
      <c r="AX401" s="72">
        <f>(AX375/AX368)*100</f>
        <v>7.9721607086365065</v>
      </c>
      <c r="AY401" s="72">
        <f>(AY375/AY368)*100</f>
        <v>-2.5212464589235126</v>
      </c>
      <c r="AZ401" s="140">
        <f t="shared" si="185"/>
        <v>7.094007031565452</v>
      </c>
      <c r="BA401" s="139" t="s">
        <v>53</v>
      </c>
      <c r="BC401" s="148">
        <f aca="true" t="shared" si="190" ref="BC401:BC407">BD401-BH401</f>
        <v>4.099635084037345</v>
      </c>
      <c r="BD401" s="144">
        <f>(BD366/BD397)*100</f>
        <v>64.62067716820569</v>
      </c>
      <c r="BE401" s="144">
        <f>(BE366/BE397)*100</f>
        <v>62.04075084229104</v>
      </c>
      <c r="BF401" s="144">
        <f>(BF366/BF397)*100</f>
        <v>64.82357220807566</v>
      </c>
      <c r="BG401" s="144">
        <f>(BG366/BG397)*100</f>
        <v>69.51195800116663</v>
      </c>
      <c r="BH401" s="144">
        <f>(BH366/BH397)*100</f>
        <v>60.52104208416834</v>
      </c>
      <c r="BI401" s="140">
        <f aca="true" t="shared" si="191" ref="BI401:BI407">AVERAGE(BD401:BH401)</f>
        <v>64.30360006078148</v>
      </c>
    </row>
    <row r="402" spans="8:61" ht="12">
      <c r="H402" s="101" t="s">
        <v>53</v>
      </c>
      <c r="I402" s="58"/>
      <c r="J402" s="58"/>
      <c r="K402" s="106">
        <f>(K369/K395)*100</f>
        <v>87.09784411276948</v>
      </c>
      <c r="L402" s="106">
        <f>(L369/L395)*100</f>
        <v>74.72273567467653</v>
      </c>
      <c r="M402" s="106">
        <f>(M369/M395)*100</f>
        <v>74.08312958435208</v>
      </c>
      <c r="N402" s="106">
        <f>(N369/N395)*100</f>
        <v>121.93428968070337</v>
      </c>
      <c r="O402" s="106">
        <f>(O369/O395)*100</f>
        <v>124.34596903363588</v>
      </c>
      <c r="P402" s="34">
        <f aca="true" t="shared" si="192" ref="P402:P408">AVERAGE(K402:O402)</f>
        <v>96.43679361722747</v>
      </c>
      <c r="Q402" s="22" t="s">
        <v>54</v>
      </c>
      <c r="S402" s="44">
        <f t="shared" si="186"/>
        <v>5.897571819425444</v>
      </c>
      <c r="T402" s="51">
        <f>T372/T373</f>
        <v>19.441176470588236</v>
      </c>
      <c r="U402" s="51">
        <f>U372/U373</f>
        <v>17.213483146067414</v>
      </c>
      <c r="V402" s="51">
        <f>V372/V373</f>
        <v>14.625377643504532</v>
      </c>
      <c r="W402" s="51">
        <f>W372/W373</f>
        <v>14.531343283582089</v>
      </c>
      <c r="X402" s="51">
        <f>X372/X373</f>
        <v>13.543604651162791</v>
      </c>
      <c r="Y402" s="140">
        <f t="shared" si="187"/>
        <v>15.870997038981013</v>
      </c>
      <c r="Z402" s="22" t="s">
        <v>86</v>
      </c>
      <c r="AB402" s="44">
        <f t="shared" si="182"/>
        <v>-3.129115375275526</v>
      </c>
      <c r="AC402" s="51">
        <f>(AC372/AC370)*100</f>
        <v>7.992788461538461</v>
      </c>
      <c r="AD402" s="51">
        <f>(AD372/AD370)*100</f>
        <v>9.202453987730062</v>
      </c>
      <c r="AE402" s="51">
        <f>(AE372/AE370)*100</f>
        <v>3.5424187725631766</v>
      </c>
      <c r="AF402" s="51">
        <f>(AF372/AF370)*100</f>
        <v>6.455203116304952</v>
      </c>
      <c r="AG402" s="51">
        <f>(AG372/AG370)*100</f>
        <v>11.121903836813987</v>
      </c>
      <c r="AH402" s="140">
        <f t="shared" si="183"/>
        <v>7.662953634990127</v>
      </c>
      <c r="AI402" s="22" t="s">
        <v>54</v>
      </c>
      <c r="AJ402" s="25"/>
      <c r="AK402" s="44">
        <f t="shared" si="188"/>
        <v>-2.185895653785562</v>
      </c>
      <c r="AL402" s="51">
        <f>AL372/AL373</f>
        <v>2.4403669724770642</v>
      </c>
      <c r="AM402" s="51">
        <f>AM372/AM373</f>
        <v>3</v>
      </c>
      <c r="AN402" s="51">
        <f>AN372/AN373</f>
        <v>1.5242718446601942</v>
      </c>
      <c r="AO402" s="51">
        <f>AO372/AO373</f>
        <v>1.681159420289855</v>
      </c>
      <c r="AP402" s="51">
        <f>AP372/AP373</f>
        <v>4.626262626262626</v>
      </c>
      <c r="AQ402" s="140">
        <f t="shared" si="189"/>
        <v>2.654412172737948</v>
      </c>
      <c r="AR402" s="64" t="s">
        <v>86</v>
      </c>
      <c r="AS402" s="60"/>
      <c r="AT402" s="132">
        <f t="shared" si="184"/>
        <v>50.35188878145731</v>
      </c>
      <c r="AU402" s="72">
        <f>(AU372/AU370)*100</f>
        <v>53.662073966642495</v>
      </c>
      <c r="AV402" s="72">
        <f>(AV372/AV370)*100</f>
        <v>53.07247899159664</v>
      </c>
      <c r="AW402" s="72">
        <f>(AW372/AW370)*100</f>
        <v>51.59632034632035</v>
      </c>
      <c r="AX402" s="72">
        <f>(AX372/AX370)*100</f>
        <v>52.05194805194805</v>
      </c>
      <c r="AY402" s="72">
        <f>(AY372/AY370)*100</f>
        <v>3.3101851851851856</v>
      </c>
      <c r="AZ402" s="140">
        <f t="shared" si="185"/>
        <v>42.738601308338545</v>
      </c>
      <c r="BA402" s="139" t="s">
        <v>54</v>
      </c>
      <c r="BC402" s="148">
        <f t="shared" si="190"/>
        <v>20.17869034406215</v>
      </c>
      <c r="BD402" s="144">
        <f>BD371/BD372</f>
        <v>20.943396226415093</v>
      </c>
      <c r="BE402" s="144">
        <f>BE371/BE372</f>
        <v>20.00990099009901</v>
      </c>
      <c r="BF402" s="144">
        <f>BF371/BF372</f>
        <v>19.459183673469386</v>
      </c>
      <c r="BG402" s="144">
        <f>BG371/BG372</f>
        <v>23.03448275862069</v>
      </c>
      <c r="BH402" s="144">
        <f>BH371/BH372</f>
        <v>0.7647058823529411</v>
      </c>
      <c r="BI402" s="140">
        <f t="shared" si="191"/>
        <v>16.84233390619142</v>
      </c>
    </row>
    <row r="403" spans="8:61" ht="12">
      <c r="H403" s="101" t="s">
        <v>54</v>
      </c>
      <c r="I403" s="58"/>
      <c r="J403" s="58"/>
      <c r="K403" s="106">
        <f>K374/-K375</f>
        <v>-8.368269230769231</v>
      </c>
      <c r="L403" s="106">
        <f>L374/-L375</f>
        <v>-9.364864864864865</v>
      </c>
      <c r="M403" s="106">
        <f>M374/-M375</f>
        <v>-5.283333333333333</v>
      </c>
      <c r="N403" s="106">
        <f>N374/-N375</f>
        <v>-4.314285714285714</v>
      </c>
      <c r="O403" s="106">
        <f>O374/-O375</f>
        <v>-2.3962264150943398</v>
      </c>
      <c r="P403" s="34">
        <f t="shared" si="192"/>
        <v>-5.945395911669497</v>
      </c>
      <c r="Q403" s="22" t="s">
        <v>97</v>
      </c>
      <c r="S403" s="44">
        <f t="shared" si="186"/>
        <v>23.895027146661135</v>
      </c>
      <c r="T403" s="51">
        <f>(T375/T368)*100</f>
        <v>21.430041152263374</v>
      </c>
      <c r="U403" s="51">
        <f>(U375/U368)*100</f>
        <v>15.220219290094777</v>
      </c>
      <c r="V403" s="51">
        <f>(V375/V368)*100</f>
        <v>11.073586917881267</v>
      </c>
      <c r="W403" s="51">
        <f>(W375/W368)*100</f>
        <v>12.340385870071769</v>
      </c>
      <c r="X403" s="51">
        <f>(X375/X368)*100</f>
        <v>-2.4649859943977592</v>
      </c>
      <c r="Y403" s="140">
        <f t="shared" si="187"/>
        <v>11.519849447182686</v>
      </c>
      <c r="Z403" s="22" t="s">
        <v>23</v>
      </c>
      <c r="AB403" s="44">
        <f t="shared" si="182"/>
        <v>0.12225570927332052</v>
      </c>
      <c r="AC403" s="51">
        <f>AC364/AC366</f>
        <v>0.8504492939666238</v>
      </c>
      <c r="AD403" s="51">
        <f>AD364/AD366</f>
        <v>0.9351969504447268</v>
      </c>
      <c r="AE403" s="51">
        <f>AE364/AE366</f>
        <v>0.7995666305525461</v>
      </c>
      <c r="AF403" s="51">
        <f>AF364/AF366</f>
        <v>0.9561573178594455</v>
      </c>
      <c r="AG403" s="51">
        <f>AG364/AG366</f>
        <v>0.7281935846933033</v>
      </c>
      <c r="AH403" s="140">
        <f t="shared" si="183"/>
        <v>0.8539127555033291</v>
      </c>
      <c r="AI403" s="22" t="s">
        <v>97</v>
      </c>
      <c r="AJ403" s="25"/>
      <c r="AK403" s="44">
        <f t="shared" si="188"/>
        <v>-6.102417027810168</v>
      </c>
      <c r="AL403" s="51">
        <f>(AL375/AL368)*100</f>
        <v>5.6682577565632455</v>
      </c>
      <c r="AM403" s="51">
        <f>(AM375/AM368)*100</f>
        <v>6.533158240315168</v>
      </c>
      <c r="AN403" s="51">
        <f>(AN375/AN368)*100</f>
        <v>2.1587998536406876</v>
      </c>
      <c r="AO403" s="51">
        <f>(AO375/AO368)*100</f>
        <v>1.4920194309507286</v>
      </c>
      <c r="AP403" s="51">
        <f>(AP375/AP368)*100</f>
        <v>11.770674784373414</v>
      </c>
      <c r="AQ403" s="140">
        <f t="shared" si="189"/>
        <v>5.524582013168649</v>
      </c>
      <c r="AR403" s="64" t="s">
        <v>23</v>
      </c>
      <c r="AS403" s="60"/>
      <c r="AT403" s="132">
        <f t="shared" si="184"/>
        <v>-0.4590865086152631</v>
      </c>
      <c r="AU403" s="72">
        <f>AU364/AU366</f>
        <v>1.4059171597633136</v>
      </c>
      <c r="AV403" s="72">
        <f>AV364/AV366</f>
        <v>2.0014630577907826</v>
      </c>
      <c r="AW403" s="72">
        <f>AW364/AW366</f>
        <v>1.9111111111111112</v>
      </c>
      <c r="AX403" s="72">
        <f>AX364/AX366</f>
        <v>1.4168236032642811</v>
      </c>
      <c r="AY403" s="72">
        <f>AY364/AY366</f>
        <v>1.8650036683785767</v>
      </c>
      <c r="AZ403" s="140">
        <f t="shared" si="185"/>
        <v>1.7200637200616131</v>
      </c>
      <c r="BA403" s="139" t="s">
        <v>97</v>
      </c>
      <c r="BC403" s="148">
        <f t="shared" si="190"/>
        <v>15.007525273413085</v>
      </c>
      <c r="BD403" s="144">
        <f>(BD374/BD367)*100</f>
        <v>12.486278814489573</v>
      </c>
      <c r="BE403" s="144">
        <f>(BE374/BE367)*100</f>
        <v>8.840075006697026</v>
      </c>
      <c r="BF403" s="144">
        <f>(BF374/BF367)*100</f>
        <v>8.69276708692767</v>
      </c>
      <c r="BG403" s="144">
        <f>(BG374/BG367)*100</f>
        <v>7.9721607086365065</v>
      </c>
      <c r="BH403" s="144">
        <f>(BH374/BH367)*100</f>
        <v>-2.5212464589235126</v>
      </c>
      <c r="BI403" s="140">
        <f t="shared" si="191"/>
        <v>7.094007031565452</v>
      </c>
    </row>
    <row r="404" spans="8:61" ht="12">
      <c r="H404" s="101" t="s">
        <v>97</v>
      </c>
      <c r="I404" s="58"/>
      <c r="J404" s="58"/>
      <c r="K404" s="106">
        <f>(K377/K370)*100</f>
        <v>19.168173598553345</v>
      </c>
      <c r="L404" s="106">
        <f>(L377/L370)*100</f>
        <v>17.62162162162162</v>
      </c>
      <c r="M404" s="106">
        <f>(M377/M370)*100</f>
        <v>-12.808988764044942</v>
      </c>
      <c r="N404" s="106">
        <f>(N377/N370)*100</f>
        <v>33.064516129032256</v>
      </c>
      <c r="O404" s="106">
        <f>(O377/O370)*100</f>
        <v>94</v>
      </c>
      <c r="P404" s="34">
        <f t="shared" si="192"/>
        <v>30.20906451703246</v>
      </c>
      <c r="Q404" s="22" t="s">
        <v>86</v>
      </c>
      <c r="S404" s="44">
        <f t="shared" si="186"/>
        <v>2.2636485954474566</v>
      </c>
      <c r="T404" s="51">
        <f>(T372/T370)*100</f>
        <v>23.18041253546721</v>
      </c>
      <c r="U404" s="51">
        <f>(U372/U370)*100</f>
        <v>22.161145667582815</v>
      </c>
      <c r="V404" s="51">
        <f>(V372/V370)*100</f>
        <v>18.91532841011214</v>
      </c>
      <c r="W404" s="51">
        <f>(W372/W370)*100</f>
        <v>21.070856598710126</v>
      </c>
      <c r="X404" s="51">
        <f>(X372/X370)*100</f>
        <v>20.916763940019752</v>
      </c>
      <c r="Y404" s="140">
        <f t="shared" si="187"/>
        <v>21.248901430378407</v>
      </c>
      <c r="Z404" s="22" t="s">
        <v>49</v>
      </c>
      <c r="AB404" s="44">
        <f t="shared" si="182"/>
        <v>-7.0095844682486765</v>
      </c>
      <c r="AC404" s="51">
        <f>((AC375-AC373-AC374)/AC393)*100</f>
        <v>1.4208263226771358</v>
      </c>
      <c r="AD404" s="51">
        <f>((AD375-AD373-AD374)/AD393)*100</f>
        <v>1.62617180026784</v>
      </c>
      <c r="AE404" s="51">
        <f>((AE372-AE373-AE374)/AE393)*100</f>
        <v>1.154249737670514</v>
      </c>
      <c r="AF404" s="51">
        <f>((AF372-AF373-AF374)/AF393)*100</f>
        <v>1.2156110044785668</v>
      </c>
      <c r="AG404" s="51">
        <f>((AG372-AG373-AG374)/AG393)*100</f>
        <v>8.430410790925812</v>
      </c>
      <c r="AH404" s="140">
        <f t="shared" si="183"/>
        <v>2.769453931203974</v>
      </c>
      <c r="AI404" s="22" t="s">
        <v>86</v>
      </c>
      <c r="AJ404" s="25"/>
      <c r="AK404" s="44">
        <f t="shared" si="188"/>
        <v>-3.129115375275526</v>
      </c>
      <c r="AL404" s="51">
        <f>(AL372/AL370)*100</f>
        <v>7.992788461538461</v>
      </c>
      <c r="AM404" s="51">
        <f>(AM372/AM370)*100</f>
        <v>9.202453987730062</v>
      </c>
      <c r="AN404" s="51">
        <f>(AN372/AN370)*100</f>
        <v>3.5424187725631766</v>
      </c>
      <c r="AO404" s="51">
        <f>(AO372/AO370)*100</f>
        <v>6.455203116304952</v>
      </c>
      <c r="AP404" s="51">
        <f>(AP372/AP370)*100</f>
        <v>11.121903836813987</v>
      </c>
      <c r="AQ404" s="140">
        <f t="shared" si="189"/>
        <v>7.662953634990127</v>
      </c>
      <c r="AR404" s="64" t="s">
        <v>49</v>
      </c>
      <c r="AS404" s="60"/>
      <c r="AT404" s="132">
        <f t="shared" si="184"/>
        <v>7.34586879881271</v>
      </c>
      <c r="AU404" s="72">
        <f>((AU375-AU373-AU374)/AU393)*100</f>
        <v>5.250769509324642</v>
      </c>
      <c r="AV404" s="72">
        <f>((AV375-AV373-AV374)/AV393)*100</f>
        <v>2.6311567463500722</v>
      </c>
      <c r="AW404" s="72">
        <f>((AW372-AW373-AW374)/AW393)*100</f>
        <v>32.08439432520917</v>
      </c>
      <c r="AX404" s="72">
        <f>((AX372-AX373-AX374)/AX393)*100</f>
        <v>36.41843282131052</v>
      </c>
      <c r="AY404" s="72">
        <f>((AY372-AY373-AY374)/AY393)*100</f>
        <v>-2.095099289488067</v>
      </c>
      <c r="AZ404" s="140">
        <f t="shared" si="185"/>
        <v>14.857930822541269</v>
      </c>
      <c r="BA404" s="139" t="s">
        <v>86</v>
      </c>
      <c r="BC404" s="148">
        <f t="shared" si="190"/>
        <v>50.35188878145731</v>
      </c>
      <c r="BD404" s="144">
        <f>(BD371/BD369)*100</f>
        <v>53.662073966642495</v>
      </c>
      <c r="BE404" s="144">
        <f>(BE371/BE369)*100</f>
        <v>53.07247899159664</v>
      </c>
      <c r="BF404" s="144">
        <f>(BF371/BF369)*100</f>
        <v>51.59632034632035</v>
      </c>
      <c r="BG404" s="144">
        <f>(BG371/BG369)*100</f>
        <v>52.05194805194805</v>
      </c>
      <c r="BH404" s="144">
        <f>(BH371/BH369)*100</f>
        <v>3.3101851851851856</v>
      </c>
      <c r="BI404" s="140">
        <f t="shared" si="191"/>
        <v>42.738601308338545</v>
      </c>
    </row>
    <row r="405" spans="8:61" ht="12">
      <c r="H405" s="101" t="s">
        <v>86</v>
      </c>
      <c r="I405" s="58"/>
      <c r="J405" s="58"/>
      <c r="K405" s="106">
        <f>(K374/K372)*100</f>
        <v>53.67914636402886</v>
      </c>
      <c r="L405" s="106">
        <f>(L374/L372)*100</f>
        <v>53.929961089494164</v>
      </c>
      <c r="M405" s="106">
        <f>(M374/M372)*100</f>
        <v>53.41196293176074</v>
      </c>
      <c r="N405" s="106">
        <f>(N374/N372)*100</f>
        <v>54.219030520646314</v>
      </c>
      <c r="O405" s="106">
        <f>(O374/O372)*100</f>
        <v>54.66284074605452</v>
      </c>
      <c r="P405" s="34">
        <f t="shared" si="192"/>
        <v>53.98058833039693</v>
      </c>
      <c r="Q405" s="22" t="s">
        <v>23</v>
      </c>
      <c r="S405" s="44">
        <f t="shared" si="186"/>
        <v>-0.3117931854149978</v>
      </c>
      <c r="T405" s="51">
        <f>T364/T366</f>
        <v>1.2140108534780463</v>
      </c>
      <c r="U405" s="51">
        <f>U364/U366</f>
        <v>1.1468839884947268</v>
      </c>
      <c r="V405" s="51">
        <f>V364/V366</f>
        <v>1.4669870694587481</v>
      </c>
      <c r="W405" s="51">
        <f>W364/W366</f>
        <v>1.721309047830594</v>
      </c>
      <c r="X405" s="51">
        <f>X364/X366</f>
        <v>1.525804038893044</v>
      </c>
      <c r="Y405" s="140">
        <f t="shared" si="187"/>
        <v>1.414998999631032</v>
      </c>
      <c r="Z405" s="22" t="s">
        <v>50</v>
      </c>
      <c r="AB405" s="44">
        <f t="shared" si="182"/>
        <v>-4.394345182500841</v>
      </c>
      <c r="AC405" s="51">
        <f>((AC375-AC373-AC374)/AC370)*100</f>
        <v>2.283653846153846</v>
      </c>
      <c r="AD405" s="51">
        <f>((AD375-AD373-AD374)/AD370)*100</f>
        <v>2.607361963190184</v>
      </c>
      <c r="AE405" s="51">
        <f>((AE372-AE373-AE374)/AE370)*100</f>
        <v>1.2409747292418771</v>
      </c>
      <c r="AF405" s="51">
        <f>((AF372-AF373-AF374)/AF370)*100</f>
        <v>2.11463550361714</v>
      </c>
      <c r="AG405" s="51">
        <f>((AG372-AG373-AG374)/AG370)*100</f>
        <v>6.677999028654686</v>
      </c>
      <c r="AH405" s="140">
        <f t="shared" si="183"/>
        <v>2.9849250141715467</v>
      </c>
      <c r="AI405" s="22" t="s">
        <v>23</v>
      </c>
      <c r="AJ405" s="25"/>
      <c r="AK405" s="44">
        <f t="shared" si="188"/>
        <v>0.12225570927332052</v>
      </c>
      <c r="AL405" s="51">
        <f>AL364/AL366</f>
        <v>0.8504492939666238</v>
      </c>
      <c r="AM405" s="51">
        <f>AM364/AM366</f>
        <v>0.9351969504447268</v>
      </c>
      <c r="AN405" s="51">
        <f>AN364/AN366</f>
        <v>0.7995666305525461</v>
      </c>
      <c r="AO405" s="51">
        <f>AO364/AO366</f>
        <v>0.9561573178594455</v>
      </c>
      <c r="AP405" s="51">
        <f>AP364/AP366</f>
        <v>0.7281935846933033</v>
      </c>
      <c r="AQ405" s="140">
        <f t="shared" si="189"/>
        <v>0.8539127555033291</v>
      </c>
      <c r="AR405" s="64" t="s">
        <v>50</v>
      </c>
      <c r="AS405" s="60"/>
      <c r="AT405" s="132">
        <f t="shared" si="184"/>
        <v>9.671947600247094</v>
      </c>
      <c r="AU405" s="72">
        <f>((AU375-AU373-AU374)/AU370)*100</f>
        <v>7.009910563210056</v>
      </c>
      <c r="AV405" s="72">
        <f>((AV375-AV373-AV374)/AV370)*100</f>
        <v>4.30672268907563</v>
      </c>
      <c r="AW405" s="72">
        <f>((AW372-AW373-AW374)/AW370)*100</f>
        <v>47.72727272727273</v>
      </c>
      <c r="AX405" s="72">
        <f>((AX372-AX373-AX374)/AX370)*100</f>
        <v>48.649350649350644</v>
      </c>
      <c r="AY405" s="72">
        <f>((AY372-AY373-AY374)/AY370)*100</f>
        <v>-2.662037037037037</v>
      </c>
      <c r="AZ405" s="140">
        <f t="shared" si="185"/>
        <v>21.006243918374405</v>
      </c>
      <c r="BA405" s="139" t="s">
        <v>23</v>
      </c>
      <c r="BC405" s="148">
        <f t="shared" si="190"/>
        <v>-0.4590865086152631</v>
      </c>
      <c r="BD405" s="144">
        <f>BD363/BD365</f>
        <v>1.4059171597633136</v>
      </c>
      <c r="BE405" s="144">
        <f>BE363/BE365</f>
        <v>2.0014630577907826</v>
      </c>
      <c r="BF405" s="144">
        <f>BF363/BF365</f>
        <v>1.9111111111111112</v>
      </c>
      <c r="BG405" s="144">
        <f>BG363/BG365</f>
        <v>1.4168236032642811</v>
      </c>
      <c r="BH405" s="144">
        <f>BH363/BH365</f>
        <v>1.8650036683785767</v>
      </c>
      <c r="BI405" s="140">
        <f t="shared" si="191"/>
        <v>1.7200637200616131</v>
      </c>
    </row>
    <row r="406" spans="8:61" ht="12">
      <c r="H406" s="101" t="s">
        <v>23</v>
      </c>
      <c r="I406" s="58"/>
      <c r="J406" s="58"/>
      <c r="K406" s="106">
        <f>K366/K368</f>
        <v>1.181058495821727</v>
      </c>
      <c r="L406" s="106">
        <f>L366/L368</f>
        <v>1.7962962962962963</v>
      </c>
      <c r="M406" s="106">
        <f>M366/M368</f>
        <v>1.7576601671309193</v>
      </c>
      <c r="N406" s="106">
        <f>N366/N368</f>
        <v>1.825214899713467</v>
      </c>
      <c r="O406" s="106">
        <f>O366/O368</f>
        <v>1.6097560975609757</v>
      </c>
      <c r="P406" s="34">
        <f t="shared" si="192"/>
        <v>1.6339971913046771</v>
      </c>
      <c r="Q406" s="22" t="s">
        <v>49</v>
      </c>
      <c r="S406" s="44">
        <f t="shared" si="186"/>
        <v>18.14798624991391</v>
      </c>
      <c r="T406" s="51">
        <f>((T375+T373+T374)/T397)*100</f>
        <v>15.269633759492454</v>
      </c>
      <c r="U406" s="51">
        <f>((U375+U373+U374)/U397)*100</f>
        <v>12.856671225769938</v>
      </c>
      <c r="V406" s="51">
        <f>((V375+V373+V374)/V397)*100</f>
        <v>8.753303767414774</v>
      </c>
      <c r="W406" s="51">
        <f>((W375+W373+W374)/W397)*100</f>
        <v>8.653888716745607</v>
      </c>
      <c r="X406" s="51">
        <f>((X375+X373+X374)/X397)*100</f>
        <v>-2.878352490421456</v>
      </c>
      <c r="Y406" s="140">
        <f t="shared" si="187"/>
        <v>8.531028995800265</v>
      </c>
      <c r="AH406" s="137"/>
      <c r="AI406" s="22" t="s">
        <v>49</v>
      </c>
      <c r="AJ406" s="25"/>
      <c r="AK406" s="44">
        <f t="shared" si="188"/>
        <v>-7.038950993779502</v>
      </c>
      <c r="AL406" s="51">
        <f>((AL375+AL373+AL374)/AL397)*100</f>
        <v>5.683305290708543</v>
      </c>
      <c r="AM406" s="51">
        <f>((AM375+AM373+AM374)/AM397)*100</f>
        <v>5.988138511574517</v>
      </c>
      <c r="AN406" s="51">
        <f>((AN375+AN373+AN374)/AN397)*100</f>
        <v>3.378803777544596</v>
      </c>
      <c r="AO406" s="51">
        <f>((AO375+AO373+AO374)/AO397)*100</f>
        <v>3.1829814459373003</v>
      </c>
      <c r="AP406" s="51">
        <f>((AP375+AP373+AP374)/AP397)*100</f>
        <v>12.722256284488045</v>
      </c>
      <c r="AQ406" s="140">
        <f t="shared" si="189"/>
        <v>6.1910970620506</v>
      </c>
      <c r="AR406" s="60"/>
      <c r="AS406" s="60"/>
      <c r="AT406" s="60"/>
      <c r="AU406" s="60"/>
      <c r="AV406" s="60"/>
      <c r="AW406" s="60"/>
      <c r="AX406" s="60"/>
      <c r="AY406" s="60"/>
      <c r="AZ406" s="137"/>
      <c r="BA406" s="139" t="s">
        <v>49</v>
      </c>
      <c r="BC406" s="148">
        <f t="shared" si="190"/>
        <v>8.146898046088062</v>
      </c>
      <c r="BD406" s="144">
        <f>((BD374+BD372+BD373)/BD397)*100</f>
        <v>11.22578308890096</v>
      </c>
      <c r="BE406" s="144">
        <f>((BE374+BE372+BE373)/BE397)*100</f>
        <v>7.9576447938392425</v>
      </c>
      <c r="BF406" s="144">
        <f>((BF374+BF372+BF373)/BF397)*100</f>
        <v>7.366315023644962</v>
      </c>
      <c r="BG406" s="144">
        <f>((BG374+BG372+BG373)/BG397)*100</f>
        <v>7.447015360684425</v>
      </c>
      <c r="BH406" s="144">
        <f>((BH374+BH372+BH373)/BH397)*100</f>
        <v>3.0788850428128987</v>
      </c>
      <c r="BI406" s="140">
        <f t="shared" si="191"/>
        <v>7.415128661976498</v>
      </c>
    </row>
    <row r="407" spans="8:61" ht="12">
      <c r="H407" s="101" t="s">
        <v>49</v>
      </c>
      <c r="I407" s="58"/>
      <c r="J407" s="58"/>
      <c r="K407" s="106">
        <f>((K377-K375-K376)/K395)*100</f>
        <v>2.7860696517412937</v>
      </c>
      <c r="L407" s="106">
        <f>((L377-L375-L376)/L395)*100</f>
        <v>2.634011090573013</v>
      </c>
      <c r="M407" s="106">
        <f>((M374-M375-M376)/M395)*100</f>
        <v>24.449877750611247</v>
      </c>
      <c r="N407" s="106">
        <f>((N374-N375-N376)/N395)*100</f>
        <v>20.86996760758908</v>
      </c>
      <c r="O407" s="106">
        <f>((O374-O375-O376)/O395)*100</f>
        <v>11.478910838227442</v>
      </c>
      <c r="P407" s="34">
        <f t="shared" si="192"/>
        <v>12.443767387748416</v>
      </c>
      <c r="Q407" s="22" t="s">
        <v>50</v>
      </c>
      <c r="S407" s="44">
        <f t="shared" si="186"/>
        <v>12.826692138048095</v>
      </c>
      <c r="T407" s="51">
        <f>((T375+T373+T374)/T370)*100</f>
        <v>10.128478974718654</v>
      </c>
      <c r="U407" s="51">
        <f>((U375+U373+U374)/U370)*100</f>
        <v>9.858238102126428</v>
      </c>
      <c r="V407" s="51">
        <f>((V375+V373+V374)/V370)*100</f>
        <v>7.634900168014691</v>
      </c>
      <c r="W407" s="51">
        <f>((W375+W373+W374)/W370)*100</f>
        <v>8.462104488594555</v>
      </c>
      <c r="X407" s="51">
        <f>((X375+X373+X374)/X370)*100</f>
        <v>-2.6982131633294424</v>
      </c>
      <c r="Y407" s="140">
        <f t="shared" si="187"/>
        <v>6.677101714024976</v>
      </c>
      <c r="AH407" s="137"/>
      <c r="AI407" s="22" t="s">
        <v>50</v>
      </c>
      <c r="AJ407" s="25"/>
      <c r="AK407" s="44">
        <f t="shared" si="188"/>
        <v>-0.8791798786752345</v>
      </c>
      <c r="AL407" s="51">
        <f>((AL37+-AL373+AL374)/AL370)*100</f>
        <v>-0.4056490384615385</v>
      </c>
      <c r="AM407" s="51">
        <f>((AM37+-AM373+AM374)/AM370)*100</f>
        <v>-0.245398773006135</v>
      </c>
      <c r="AN407" s="51">
        <f>((AN37+-AN373+AN374)/AN370)*100</f>
        <v>-0.6994584837545126</v>
      </c>
      <c r="AO407" s="51">
        <f>((AO37+-AO373+AO374)/AO370)*100</f>
        <v>-1.6416249304396218</v>
      </c>
      <c r="AP407" s="51">
        <f>((AP37+-AP373+AP374)/AP370)*100</f>
        <v>0.47353084021369596</v>
      </c>
      <c r="AQ407" s="140">
        <f t="shared" si="189"/>
        <v>-0.5037200770896224</v>
      </c>
      <c r="AR407" s="60"/>
      <c r="AS407" s="60"/>
      <c r="AT407" s="60"/>
      <c r="AU407" s="60"/>
      <c r="AV407" s="60"/>
      <c r="AW407" s="60"/>
      <c r="AX407" s="60"/>
      <c r="AY407" s="60"/>
      <c r="AZ407" s="137"/>
      <c r="BA407" s="139" t="s">
        <v>50</v>
      </c>
      <c r="BC407" s="148">
        <f t="shared" si="190"/>
        <v>11.074668304998255</v>
      </c>
      <c r="BD407" s="144">
        <f>((BD374+BD372+BD373)/BD369)*100</f>
        <v>14.986705342035291</v>
      </c>
      <c r="BE407" s="144">
        <f>((BE374+BE372+BE373)/BE369)*100</f>
        <v>13.025210084033615</v>
      </c>
      <c r="BF407" s="144">
        <f>((BF374+BF372+BF373)/BF369)*100</f>
        <v>10.957792207792208</v>
      </c>
      <c r="BG407" s="144">
        <f>((BG374+BG372+BG373)/BG369)*100</f>
        <v>9.948051948051948</v>
      </c>
      <c r="BH407" s="144">
        <f>((BH374+BH372+BH373)/BH369)*100</f>
        <v>3.9120370370370368</v>
      </c>
      <c r="BI407" s="140">
        <f t="shared" si="191"/>
        <v>10.56595932379002</v>
      </c>
    </row>
    <row r="408" spans="8:61" ht="12">
      <c r="H408" s="101" t="s">
        <v>50</v>
      </c>
      <c r="I408" s="58"/>
      <c r="J408" s="58"/>
      <c r="K408" s="106">
        <f>((K377-K375-K376)/K372)*100</f>
        <v>5.181027570468142</v>
      </c>
      <c r="L408" s="106">
        <f>((L377-L375-L376)/L372)*100</f>
        <v>4.43579766536965</v>
      </c>
      <c r="M408" s="106">
        <f>((M374-M375-M376)/M372)*100</f>
        <v>42.122999157540015</v>
      </c>
      <c r="N408" s="106">
        <f>((N374-N375-N376)/N372)*100</f>
        <v>40.48473967684021</v>
      </c>
      <c r="O408" s="106">
        <f>((O374-O375-O376)/O372)*100</f>
        <v>30.84648493543759</v>
      </c>
      <c r="P408" s="34">
        <f t="shared" si="192"/>
        <v>24.61420980113112</v>
      </c>
      <c r="AH408" s="137"/>
      <c r="AI408" s="25"/>
      <c r="AJ408" s="25"/>
      <c r="AK408" s="25"/>
      <c r="AL408" s="25"/>
      <c r="AM408" s="25"/>
      <c r="AN408" s="25"/>
      <c r="AO408" s="25"/>
      <c r="AP408" s="25"/>
      <c r="AR408" s="60"/>
      <c r="AS408" s="60"/>
      <c r="AT408" s="60"/>
      <c r="AU408" s="60"/>
      <c r="AV408" s="60"/>
      <c r="AW408" s="60"/>
      <c r="AX408" s="60"/>
      <c r="AY408" s="60"/>
      <c r="AZ408" s="137"/>
      <c r="BI408" s="137"/>
    </row>
    <row r="409" spans="8:61" ht="12">
      <c r="H409" s="58"/>
      <c r="I409" s="58"/>
      <c r="J409" s="58"/>
      <c r="K409" s="58"/>
      <c r="L409" s="58"/>
      <c r="M409" s="58"/>
      <c r="N409" s="58"/>
      <c r="O409" s="58"/>
      <c r="P409" s="27"/>
      <c r="AI409" s="25"/>
      <c r="AJ409" s="25"/>
      <c r="AK409" s="25"/>
      <c r="AL409" s="25"/>
      <c r="AM409" s="25"/>
      <c r="AN409" s="25"/>
      <c r="AO409" s="25"/>
      <c r="AP409" s="25"/>
      <c r="AR409" s="60"/>
      <c r="AS409" s="60"/>
      <c r="AT409" s="60"/>
      <c r="AU409" s="60"/>
      <c r="AV409" s="60"/>
      <c r="AW409" s="60"/>
      <c r="AX409" s="60"/>
      <c r="AY409" s="60"/>
      <c r="AZ409" s="137"/>
      <c r="BI409" s="137"/>
    </row>
    <row r="410" spans="8:52" ht="12">
      <c r="H410" s="58"/>
      <c r="I410" s="58"/>
      <c r="J410" s="58"/>
      <c r="K410" s="58"/>
      <c r="L410" s="58"/>
      <c r="M410" s="58"/>
      <c r="N410" s="58"/>
      <c r="O410" s="58"/>
      <c r="P410" s="27"/>
      <c r="AI410" s="25"/>
      <c r="AJ410" s="25"/>
      <c r="AK410" s="25"/>
      <c r="AL410" s="25"/>
      <c r="AM410" s="25"/>
      <c r="AN410" s="25"/>
      <c r="AO410" s="25"/>
      <c r="AP410" s="25"/>
      <c r="AR410" s="60"/>
      <c r="AS410" s="60"/>
      <c r="AT410" s="60"/>
      <c r="AU410" s="60"/>
      <c r="AV410" s="60"/>
      <c r="AW410" s="60"/>
      <c r="AX410" s="60"/>
      <c r="AY410" s="60"/>
      <c r="AZ410" s="137"/>
    </row>
    <row r="411" spans="8:57" ht="12">
      <c r="H411" s="58"/>
      <c r="I411" s="58"/>
      <c r="J411" s="58"/>
      <c r="K411" s="58"/>
      <c r="L411" s="58"/>
      <c r="M411" s="58"/>
      <c r="N411" s="58"/>
      <c r="O411" s="58"/>
      <c r="P411" s="27"/>
      <c r="AI411" s="25"/>
      <c r="AJ411" s="25"/>
      <c r="AK411" s="25"/>
      <c r="AL411" s="25"/>
      <c r="AM411" s="25"/>
      <c r="AN411" s="25"/>
      <c r="AO411" s="25"/>
      <c r="AP411" s="25"/>
      <c r="AR411" s="60"/>
      <c r="AS411" s="60"/>
      <c r="AT411" s="60"/>
      <c r="AU411" s="60"/>
      <c r="AV411" s="60"/>
      <c r="AW411" s="60"/>
      <c r="AX411" s="60"/>
      <c r="AY411" s="60"/>
      <c r="AZ411" s="137"/>
      <c r="BE411" s="25"/>
    </row>
    <row r="412" spans="8:57" ht="12">
      <c r="H412" s="58"/>
      <c r="I412" s="58"/>
      <c r="J412" s="58"/>
      <c r="K412" s="58"/>
      <c r="L412" s="58"/>
      <c r="M412" s="58"/>
      <c r="N412" s="58"/>
      <c r="O412" s="58"/>
      <c r="P412" s="58"/>
      <c r="U412" s="145" t="s">
        <v>227</v>
      </c>
      <c r="AI412" s="25"/>
      <c r="AJ412" s="25"/>
      <c r="AK412" s="25"/>
      <c r="AL412" s="25"/>
      <c r="AM412" s="145" t="s">
        <v>238</v>
      </c>
      <c r="AN412" s="25"/>
      <c r="AO412" s="25"/>
      <c r="AP412" s="25"/>
      <c r="AR412" s="60"/>
      <c r="AS412" s="60"/>
      <c r="AT412" s="60"/>
      <c r="AU412" s="60"/>
      <c r="AV412" s="60"/>
      <c r="AW412" s="60"/>
      <c r="AX412" s="60"/>
      <c r="AY412" s="60"/>
      <c r="BE412" s="151" t="s">
        <v>249</v>
      </c>
    </row>
    <row r="413" spans="8:61" ht="12">
      <c r="H413" s="58"/>
      <c r="I413" s="58"/>
      <c r="J413" s="58"/>
      <c r="K413" s="58"/>
      <c r="L413" s="58"/>
      <c r="M413" s="58"/>
      <c r="N413" s="58"/>
      <c r="O413" s="58"/>
      <c r="P413" s="58"/>
      <c r="Q413" s="23" t="s">
        <v>127</v>
      </c>
      <c r="R413" s="23"/>
      <c r="S413" s="23"/>
      <c r="T413" s="23"/>
      <c r="U413" s="23"/>
      <c r="V413" s="23"/>
      <c r="W413" s="23"/>
      <c r="X413" s="23"/>
      <c r="Y413" s="136"/>
      <c r="Z413" s="23" t="s">
        <v>144</v>
      </c>
      <c r="AA413" s="23"/>
      <c r="AB413" s="23"/>
      <c r="AC413" s="23"/>
      <c r="AD413" s="23"/>
      <c r="AE413" s="23"/>
      <c r="AF413" s="23"/>
      <c r="AG413" s="23"/>
      <c r="AH413" s="136"/>
      <c r="AI413" s="23" t="s">
        <v>144</v>
      </c>
      <c r="AJ413" s="23"/>
      <c r="AK413" s="23"/>
      <c r="AL413" s="23"/>
      <c r="AM413" s="23"/>
      <c r="AN413" s="23"/>
      <c r="AO413" s="23"/>
      <c r="AP413" s="23"/>
      <c r="AQ413" s="136"/>
      <c r="AR413" s="59" t="s">
        <v>164</v>
      </c>
      <c r="AS413" s="59"/>
      <c r="AT413" s="59"/>
      <c r="AU413" s="59"/>
      <c r="AV413" s="59"/>
      <c r="AW413" s="59"/>
      <c r="AX413" s="59"/>
      <c r="AY413" s="59"/>
      <c r="AZ413" s="136"/>
      <c r="BA413" s="136" t="s">
        <v>164</v>
      </c>
      <c r="BB413" s="136"/>
      <c r="BI413" s="137"/>
    </row>
    <row r="414" spans="8:61" ht="12">
      <c r="H414" s="58"/>
      <c r="I414" s="58"/>
      <c r="J414" s="58"/>
      <c r="K414" s="58"/>
      <c r="L414" s="58"/>
      <c r="M414" s="58"/>
      <c r="N414" s="58"/>
      <c r="O414" s="58"/>
      <c r="P414" s="27"/>
      <c r="AH414" s="137"/>
      <c r="AI414" s="22" t="s">
        <v>220</v>
      </c>
      <c r="AJ414" s="25"/>
      <c r="AK414" s="25"/>
      <c r="AL414" s="25"/>
      <c r="AM414" s="25"/>
      <c r="AN414" s="25"/>
      <c r="AO414" s="25"/>
      <c r="AP414" s="25"/>
      <c r="AQ414" s="137"/>
      <c r="AR414" s="60"/>
      <c r="AS414" s="60"/>
      <c r="AT414" s="60"/>
      <c r="AU414" s="60"/>
      <c r="AV414" s="60"/>
      <c r="AW414" s="60"/>
      <c r="AX414" s="60"/>
      <c r="AY414" s="60"/>
      <c r="AZ414" s="137"/>
      <c r="BA414" s="139" t="s">
        <v>220</v>
      </c>
      <c r="BI414" s="137"/>
    </row>
    <row r="415" spans="8:61" ht="12">
      <c r="H415" s="58"/>
      <c r="I415" s="58"/>
      <c r="J415" s="58"/>
      <c r="K415" s="58"/>
      <c r="L415" s="58"/>
      <c r="M415" s="58"/>
      <c r="N415" s="58"/>
      <c r="O415" s="58"/>
      <c r="P415" s="27"/>
      <c r="Q415" s="25" t="s">
        <v>22</v>
      </c>
      <c r="Z415" s="25" t="s">
        <v>22</v>
      </c>
      <c r="AH415" s="137"/>
      <c r="AI415" s="25" t="s">
        <v>22</v>
      </c>
      <c r="AJ415" s="25"/>
      <c r="AK415" s="25"/>
      <c r="AL415" s="25"/>
      <c r="AM415" s="25"/>
      <c r="AN415" s="25"/>
      <c r="AO415" s="25"/>
      <c r="AP415" s="25"/>
      <c r="AQ415" s="137"/>
      <c r="AR415" s="60" t="s">
        <v>22</v>
      </c>
      <c r="AS415" s="60"/>
      <c r="AT415" s="60"/>
      <c r="AU415" s="60"/>
      <c r="AV415" s="60"/>
      <c r="AW415" s="60"/>
      <c r="AX415" s="60"/>
      <c r="AY415" s="60"/>
      <c r="AZ415" s="137"/>
      <c r="BA415" s="133" t="s">
        <v>22</v>
      </c>
      <c r="BI415" s="137"/>
    </row>
    <row r="416" spans="8:61" ht="12">
      <c r="H416" s="58"/>
      <c r="I416" s="58"/>
      <c r="J416" s="58"/>
      <c r="K416" s="58"/>
      <c r="L416" s="58"/>
      <c r="M416" s="58"/>
      <c r="N416" s="58"/>
      <c r="O416" s="58"/>
      <c r="P416" s="27"/>
      <c r="Q416" s="25" t="s">
        <v>114</v>
      </c>
      <c r="Z416" s="25" t="s">
        <v>114</v>
      </c>
      <c r="AH416" s="137"/>
      <c r="AI416" s="25" t="s">
        <v>114</v>
      </c>
      <c r="AJ416" s="25"/>
      <c r="AK416" s="25"/>
      <c r="AL416" s="25"/>
      <c r="AM416" s="25"/>
      <c r="AN416" s="25"/>
      <c r="AO416" s="25"/>
      <c r="AP416" s="25"/>
      <c r="AQ416" s="137"/>
      <c r="AR416" s="60" t="s">
        <v>114</v>
      </c>
      <c r="AS416" s="60"/>
      <c r="AT416" s="60"/>
      <c r="AU416" s="60"/>
      <c r="AV416" s="60"/>
      <c r="AW416" s="60"/>
      <c r="AX416" s="60"/>
      <c r="AY416" s="60"/>
      <c r="AZ416" s="137"/>
      <c r="BA416" s="133" t="s">
        <v>114</v>
      </c>
      <c r="BI416" s="137"/>
    </row>
    <row r="417" spans="8:61" ht="12">
      <c r="H417" s="59" t="s">
        <v>138</v>
      </c>
      <c r="I417" s="59"/>
      <c r="J417" s="59"/>
      <c r="K417" s="59"/>
      <c r="L417" s="59"/>
      <c r="M417" s="59"/>
      <c r="N417" s="59"/>
      <c r="O417" s="59"/>
      <c r="P417" s="59"/>
      <c r="Q417" s="25" t="s">
        <v>52</v>
      </c>
      <c r="Z417" s="25" t="s">
        <v>52</v>
      </c>
      <c r="AH417" s="137"/>
      <c r="AI417" s="25" t="s">
        <v>52</v>
      </c>
      <c r="AJ417" s="25"/>
      <c r="AK417" s="25"/>
      <c r="AL417" s="25"/>
      <c r="AM417" s="25"/>
      <c r="AN417" s="25"/>
      <c r="AO417" s="25"/>
      <c r="AP417" s="25"/>
      <c r="AQ417" s="137"/>
      <c r="AR417" s="60" t="s">
        <v>52</v>
      </c>
      <c r="AS417" s="60"/>
      <c r="AT417" s="60"/>
      <c r="AU417" s="60"/>
      <c r="AV417" s="60"/>
      <c r="AW417" s="60"/>
      <c r="AX417" s="60"/>
      <c r="AY417" s="60"/>
      <c r="AZ417" s="137"/>
      <c r="BA417" s="133" t="s">
        <v>52</v>
      </c>
      <c r="BD417" s="25"/>
      <c r="BE417" s="25"/>
      <c r="BF417" s="25"/>
      <c r="BG417" s="25"/>
      <c r="BH417" s="25"/>
      <c r="BI417" s="25"/>
    </row>
    <row r="418" spans="8:61" ht="12">
      <c r="H418" s="60"/>
      <c r="I418" s="60"/>
      <c r="J418" s="60"/>
      <c r="K418" s="60"/>
      <c r="L418" s="60"/>
      <c r="M418" s="60"/>
      <c r="N418" s="60"/>
      <c r="O418" s="60"/>
      <c r="P418" s="61"/>
      <c r="AH418" s="137"/>
      <c r="AI418" s="25"/>
      <c r="AJ418" s="25"/>
      <c r="AK418" s="25"/>
      <c r="AL418" s="25"/>
      <c r="AM418" s="25"/>
      <c r="AN418" s="25"/>
      <c r="AO418" s="25"/>
      <c r="AP418" s="25"/>
      <c r="AQ418" s="137"/>
      <c r="AR418" s="60"/>
      <c r="AS418" s="60"/>
      <c r="AT418" s="60"/>
      <c r="AU418" s="60"/>
      <c r="AV418" s="60"/>
      <c r="AW418" s="60"/>
      <c r="AX418" s="60"/>
      <c r="AY418" s="60"/>
      <c r="AZ418" s="137"/>
      <c r="BD418" s="25"/>
      <c r="BE418" s="25"/>
      <c r="BF418" s="25"/>
      <c r="BG418" s="25"/>
      <c r="BH418" s="25"/>
      <c r="BI418" s="25"/>
    </row>
    <row r="419" spans="8:61" ht="12">
      <c r="H419" s="60" t="s">
        <v>22</v>
      </c>
      <c r="I419" s="60"/>
      <c r="J419" s="60"/>
      <c r="K419" s="60"/>
      <c r="L419" s="60"/>
      <c r="M419" s="60"/>
      <c r="N419" s="60"/>
      <c r="O419" s="60"/>
      <c r="P419" s="61"/>
      <c r="T419" s="28" t="s">
        <v>25</v>
      </c>
      <c r="U419" s="28" t="s">
        <v>25</v>
      </c>
      <c r="V419" s="28" t="s">
        <v>25</v>
      </c>
      <c r="W419" s="28" t="s">
        <v>25</v>
      </c>
      <c r="X419" s="28" t="s">
        <v>25</v>
      </c>
      <c r="Y419" s="138"/>
      <c r="AC419" s="28" t="s">
        <v>25</v>
      </c>
      <c r="AD419" s="28" t="s">
        <v>25</v>
      </c>
      <c r="AE419" s="28" t="s">
        <v>25</v>
      </c>
      <c r="AF419" s="28" t="s">
        <v>25</v>
      </c>
      <c r="AG419" s="28" t="s">
        <v>25</v>
      </c>
      <c r="AH419" s="138"/>
      <c r="AI419" s="25"/>
      <c r="AJ419" s="25"/>
      <c r="AK419" s="25"/>
      <c r="AL419" s="28" t="s">
        <v>25</v>
      </c>
      <c r="AM419" s="28" t="s">
        <v>25</v>
      </c>
      <c r="AN419" s="28" t="s">
        <v>25</v>
      </c>
      <c r="AO419" s="28" t="s">
        <v>25</v>
      </c>
      <c r="AP419" s="28" t="s">
        <v>25</v>
      </c>
      <c r="AQ419" s="138"/>
      <c r="AR419" s="60"/>
      <c r="AS419" s="60"/>
      <c r="AT419" s="60"/>
      <c r="AU419" s="62" t="s">
        <v>25</v>
      </c>
      <c r="AV419" s="62" t="s">
        <v>25</v>
      </c>
      <c r="AW419" s="62" t="s">
        <v>25</v>
      </c>
      <c r="AX419" s="62" t="s">
        <v>25</v>
      </c>
      <c r="AY419" s="62" t="s">
        <v>25</v>
      </c>
      <c r="AZ419" s="138"/>
      <c r="BD419" s="143" t="s">
        <v>25</v>
      </c>
      <c r="BE419" s="143" t="s">
        <v>25</v>
      </c>
      <c r="BF419" s="143" t="s">
        <v>25</v>
      </c>
      <c r="BG419" s="143" t="s">
        <v>25</v>
      </c>
      <c r="BH419" s="143" t="s">
        <v>25</v>
      </c>
      <c r="BI419" s="138"/>
    </row>
    <row r="420" spans="8:61" ht="12">
      <c r="H420" s="60" t="s">
        <v>114</v>
      </c>
      <c r="I420" s="60"/>
      <c r="J420" s="60"/>
      <c r="K420" s="60"/>
      <c r="L420" s="60"/>
      <c r="M420" s="60"/>
      <c r="N420" s="60"/>
      <c r="O420" s="60"/>
      <c r="P420" s="61"/>
      <c r="T420" s="28">
        <v>2006</v>
      </c>
      <c r="U420" s="28">
        <v>2005</v>
      </c>
      <c r="V420" s="28">
        <v>2004</v>
      </c>
      <c r="W420" s="28">
        <v>2003</v>
      </c>
      <c r="X420" s="28">
        <v>2002</v>
      </c>
      <c r="Y420" s="138" t="s">
        <v>117</v>
      </c>
      <c r="AC420" s="28">
        <v>2006</v>
      </c>
      <c r="AD420" s="28">
        <v>2005</v>
      </c>
      <c r="AE420" s="28">
        <v>2004</v>
      </c>
      <c r="AF420" s="28">
        <v>2003</v>
      </c>
      <c r="AG420" s="28">
        <v>2002</v>
      </c>
      <c r="AH420" s="138" t="s">
        <v>117</v>
      </c>
      <c r="AI420" s="25"/>
      <c r="AJ420" s="25"/>
      <c r="AK420" s="25"/>
      <c r="AL420" s="28">
        <v>2006</v>
      </c>
      <c r="AM420" s="28">
        <v>2005</v>
      </c>
      <c r="AN420" s="28">
        <v>2004</v>
      </c>
      <c r="AO420" s="28">
        <v>2003</v>
      </c>
      <c r="AP420" s="28">
        <v>2002</v>
      </c>
      <c r="AQ420" s="138" t="s">
        <v>117</v>
      </c>
      <c r="AR420" s="60"/>
      <c r="AS420" s="60"/>
      <c r="AT420" s="60"/>
      <c r="AU420" s="62">
        <v>2006</v>
      </c>
      <c r="AV420" s="62">
        <v>2005</v>
      </c>
      <c r="AW420" s="62">
        <v>2004</v>
      </c>
      <c r="AX420" s="62">
        <v>2003</v>
      </c>
      <c r="AY420" s="62">
        <v>2002</v>
      </c>
      <c r="AZ420" s="138" t="s">
        <v>117</v>
      </c>
      <c r="BC420" s="25"/>
      <c r="BD420" s="143">
        <v>2006</v>
      </c>
      <c r="BE420" s="143">
        <v>2005</v>
      </c>
      <c r="BF420" s="143">
        <v>2004</v>
      </c>
      <c r="BG420" s="143">
        <v>2003</v>
      </c>
      <c r="BH420" s="143">
        <v>2002</v>
      </c>
      <c r="BI420" s="138" t="s">
        <v>117</v>
      </c>
    </row>
    <row r="421" spans="8:61" ht="12">
      <c r="H421" s="60" t="s">
        <v>52</v>
      </c>
      <c r="I421" s="60"/>
      <c r="J421" s="60"/>
      <c r="K421" s="60"/>
      <c r="L421" s="60"/>
      <c r="M421" s="60"/>
      <c r="N421" s="60"/>
      <c r="O421" s="60"/>
      <c r="P421" s="61"/>
      <c r="T421" s="28" t="s">
        <v>71</v>
      </c>
      <c r="U421" s="28" t="s">
        <v>71</v>
      </c>
      <c r="V421" s="28" t="s">
        <v>71</v>
      </c>
      <c r="W421" s="28" t="s">
        <v>71</v>
      </c>
      <c r="X421" s="28" t="s">
        <v>71</v>
      </c>
      <c r="Y421" s="138" t="s">
        <v>71</v>
      </c>
      <c r="AC421" s="28" t="s">
        <v>71</v>
      </c>
      <c r="AD421" s="28" t="s">
        <v>71</v>
      </c>
      <c r="AE421" s="28" t="s">
        <v>71</v>
      </c>
      <c r="AF421" s="28" t="s">
        <v>71</v>
      </c>
      <c r="AG421" s="28" t="s">
        <v>71</v>
      </c>
      <c r="AH421" s="138" t="s">
        <v>71</v>
      </c>
      <c r="AI421" s="25"/>
      <c r="AJ421" s="25"/>
      <c r="AK421" s="25"/>
      <c r="AL421" s="28" t="s">
        <v>71</v>
      </c>
      <c r="AM421" s="28" t="s">
        <v>71</v>
      </c>
      <c r="AN421" s="28" t="s">
        <v>71</v>
      </c>
      <c r="AO421" s="28" t="s">
        <v>71</v>
      </c>
      <c r="AP421" s="28" t="s">
        <v>71</v>
      </c>
      <c r="AQ421" s="138" t="s">
        <v>71</v>
      </c>
      <c r="AR421" s="60"/>
      <c r="AS421" s="60"/>
      <c r="AT421" s="60"/>
      <c r="AU421" s="62" t="s">
        <v>71</v>
      </c>
      <c r="AV421" s="62" t="s">
        <v>71</v>
      </c>
      <c r="AW421" s="62" t="s">
        <v>71</v>
      </c>
      <c r="AX421" s="62" t="s">
        <v>71</v>
      </c>
      <c r="AY421" s="62" t="s">
        <v>71</v>
      </c>
      <c r="AZ421" s="138" t="s">
        <v>71</v>
      </c>
      <c r="BC421" s="25"/>
      <c r="BD421" s="143" t="s">
        <v>71</v>
      </c>
      <c r="BE421" s="143" t="s">
        <v>71</v>
      </c>
      <c r="BF421" s="143" t="s">
        <v>71</v>
      </c>
      <c r="BG421" s="143" t="s">
        <v>71</v>
      </c>
      <c r="BH421" s="143" t="s">
        <v>71</v>
      </c>
      <c r="BI421" s="138" t="s">
        <v>71</v>
      </c>
    </row>
    <row r="422" spans="8:61" ht="12">
      <c r="H422" s="60"/>
      <c r="I422" s="60"/>
      <c r="J422" s="60"/>
      <c r="K422" s="60"/>
      <c r="L422" s="60"/>
      <c r="M422" s="60"/>
      <c r="N422" s="60"/>
      <c r="O422" s="60"/>
      <c r="P422" s="61"/>
      <c r="S422" s="22" t="s">
        <v>219</v>
      </c>
      <c r="T422" s="28" t="s">
        <v>38</v>
      </c>
      <c r="U422" s="28" t="s">
        <v>38</v>
      </c>
      <c r="V422" s="28" t="s">
        <v>38</v>
      </c>
      <c r="W422" s="28" t="s">
        <v>38</v>
      </c>
      <c r="X422" s="28" t="s">
        <v>38</v>
      </c>
      <c r="Y422" s="143" t="s">
        <v>38</v>
      </c>
      <c r="AB422" s="22" t="s">
        <v>218</v>
      </c>
      <c r="AC422" s="28" t="s">
        <v>68</v>
      </c>
      <c r="AD422" s="28" t="s">
        <v>68</v>
      </c>
      <c r="AE422" s="28" t="s">
        <v>68</v>
      </c>
      <c r="AF422" s="28" t="s">
        <v>68</v>
      </c>
      <c r="AG422" s="28" t="s">
        <v>68</v>
      </c>
      <c r="AH422" s="138" t="s">
        <v>68</v>
      </c>
      <c r="AI422" s="25"/>
      <c r="AJ422" s="25"/>
      <c r="AK422" s="22" t="s">
        <v>218</v>
      </c>
      <c r="AL422" s="28" t="s">
        <v>38</v>
      </c>
      <c r="AM422" s="28" t="s">
        <v>38</v>
      </c>
      <c r="AN422" s="28" t="s">
        <v>38</v>
      </c>
      <c r="AO422" s="28" t="s">
        <v>38</v>
      </c>
      <c r="AP422" s="28" t="s">
        <v>38</v>
      </c>
      <c r="AQ422" s="143" t="s">
        <v>38</v>
      </c>
      <c r="AR422" s="60"/>
      <c r="AS422" s="60"/>
      <c r="AT422" s="64" t="s">
        <v>218</v>
      </c>
      <c r="AU422" s="62" t="s">
        <v>68</v>
      </c>
      <c r="AV422" s="62" t="s">
        <v>68</v>
      </c>
      <c r="AW422" s="62" t="s">
        <v>68</v>
      </c>
      <c r="AX422" s="62" t="s">
        <v>68</v>
      </c>
      <c r="AY422" s="62" t="s">
        <v>68</v>
      </c>
      <c r="AZ422" s="138" t="s">
        <v>68</v>
      </c>
      <c r="BC422" s="139" t="s">
        <v>218</v>
      </c>
      <c r="BD422" s="143" t="s">
        <v>38</v>
      </c>
      <c r="BE422" s="143" t="s">
        <v>38</v>
      </c>
      <c r="BF422" s="143" t="s">
        <v>38</v>
      </c>
      <c r="BG422" s="143" t="s">
        <v>38</v>
      </c>
      <c r="BH422" s="143" t="s">
        <v>38</v>
      </c>
      <c r="BI422" s="143" t="s">
        <v>38</v>
      </c>
    </row>
    <row r="423" spans="8:61" ht="12">
      <c r="H423" s="60"/>
      <c r="I423" s="60"/>
      <c r="J423" s="60"/>
      <c r="K423" s="62" t="s">
        <v>25</v>
      </c>
      <c r="L423" s="62" t="s">
        <v>25</v>
      </c>
      <c r="M423" s="62" t="s">
        <v>25</v>
      </c>
      <c r="N423" s="62" t="s">
        <v>25</v>
      </c>
      <c r="O423" s="62" t="s">
        <v>25</v>
      </c>
      <c r="P423" s="63"/>
      <c r="Q423" s="25" t="s">
        <v>26</v>
      </c>
      <c r="R423" s="22"/>
      <c r="S423" s="132">
        <f>T423-X423</f>
        <v>434</v>
      </c>
      <c r="T423" s="42">
        <v>49010</v>
      </c>
      <c r="U423" s="42">
        <v>48737</v>
      </c>
      <c r="V423" s="42">
        <v>70566</v>
      </c>
      <c r="W423" s="42">
        <v>58973</v>
      </c>
      <c r="X423" s="42">
        <v>48576</v>
      </c>
      <c r="Y423" s="53">
        <f>AVERAGE(T423:X423)</f>
        <v>55172.4</v>
      </c>
      <c r="Z423" s="25" t="s">
        <v>26</v>
      </c>
      <c r="AA423" s="22"/>
      <c r="AB423" s="132">
        <f>AC423-AG423</f>
        <v>1339</v>
      </c>
      <c r="AC423" s="42">
        <v>1410</v>
      </c>
      <c r="AD423" s="42">
        <v>1175</v>
      </c>
      <c r="AE423" s="42">
        <v>38</v>
      </c>
      <c r="AF423" s="42">
        <v>35</v>
      </c>
      <c r="AG423" s="42">
        <v>71</v>
      </c>
      <c r="AH423" s="53">
        <f>AVERAGE(AC423:AG423)</f>
        <v>545.8</v>
      </c>
      <c r="AI423" s="25" t="s">
        <v>26</v>
      </c>
      <c r="AJ423" s="22"/>
      <c r="AK423" s="132">
        <f>AL423-AP423</f>
        <v>2678</v>
      </c>
      <c r="AL423" s="42">
        <f aca="true" t="shared" si="193" ref="AL423:AP427">2*AC423</f>
        <v>2820</v>
      </c>
      <c r="AM423" s="42">
        <f t="shared" si="193"/>
        <v>2350</v>
      </c>
      <c r="AN423" s="42">
        <f t="shared" si="193"/>
        <v>76</v>
      </c>
      <c r="AO423" s="42">
        <f t="shared" si="193"/>
        <v>70</v>
      </c>
      <c r="AP423" s="42">
        <f t="shared" si="193"/>
        <v>142</v>
      </c>
      <c r="AQ423" s="53">
        <f>AVERAGE(AL423:AP423)</f>
        <v>1091.6</v>
      </c>
      <c r="AR423" s="60" t="s">
        <v>26</v>
      </c>
      <c r="AS423" s="64"/>
      <c r="AT423" s="132">
        <f>AU423-AY423</f>
        <v>-396768</v>
      </c>
      <c r="AU423" s="65">
        <v>6121</v>
      </c>
      <c r="AV423" s="65">
        <v>4759</v>
      </c>
      <c r="AW423" s="65">
        <v>4293</v>
      </c>
      <c r="AX423" s="65">
        <v>451718</v>
      </c>
      <c r="AY423" s="65">
        <v>402889</v>
      </c>
      <c r="AZ423" s="53">
        <f>AVERAGE(AU423:AY423)</f>
        <v>173956</v>
      </c>
      <c r="BA423" s="133" t="s">
        <v>26</v>
      </c>
      <c r="BB423" s="139"/>
      <c r="BC423" s="146">
        <f>BD423-BH423</f>
        <v>-793536</v>
      </c>
      <c r="BD423" s="147">
        <f aca="true" t="shared" si="194" ref="BD423:BH427">2*AU423</f>
        <v>12242</v>
      </c>
      <c r="BE423" s="147">
        <f t="shared" si="194"/>
        <v>9518</v>
      </c>
      <c r="BF423" s="147">
        <f t="shared" si="194"/>
        <v>8586</v>
      </c>
      <c r="BG423" s="147">
        <f t="shared" si="194"/>
        <v>903436</v>
      </c>
      <c r="BH423" s="147">
        <f t="shared" si="194"/>
        <v>805778</v>
      </c>
      <c r="BI423" s="53">
        <f>AVERAGE(BD423:BH423)</f>
        <v>347912</v>
      </c>
    </row>
    <row r="424" spans="8:61" ht="12">
      <c r="H424" s="60"/>
      <c r="I424" s="60"/>
      <c r="J424" s="60"/>
      <c r="K424" s="62">
        <v>2006</v>
      </c>
      <c r="L424" s="62">
        <v>2005</v>
      </c>
      <c r="M424" s="62">
        <v>2004</v>
      </c>
      <c r="N424" s="62">
        <v>2003</v>
      </c>
      <c r="O424" s="62">
        <v>2002</v>
      </c>
      <c r="P424" s="63" t="s">
        <v>117</v>
      </c>
      <c r="Q424" s="25" t="s">
        <v>93</v>
      </c>
      <c r="S424" s="132">
        <f>T424-X424</f>
        <v>1951</v>
      </c>
      <c r="T424" s="42">
        <v>69597</v>
      </c>
      <c r="U424" s="42">
        <v>70815</v>
      </c>
      <c r="V424" s="42">
        <v>92389</v>
      </c>
      <c r="W424" s="42">
        <v>79571</v>
      </c>
      <c r="X424" s="42">
        <v>67646</v>
      </c>
      <c r="Y424" s="53">
        <f>AVERAGE(T424:X424)</f>
        <v>76003.6</v>
      </c>
      <c r="Z424" s="25" t="s">
        <v>93</v>
      </c>
      <c r="AB424" s="132">
        <f>AC424-AG424</f>
        <v>563</v>
      </c>
      <c r="AC424" s="42">
        <v>2946</v>
      </c>
      <c r="AD424" s="42">
        <v>2665</v>
      </c>
      <c r="AE424" s="42">
        <f>2886+AE423</f>
        <v>2924</v>
      </c>
      <c r="AF424" s="42">
        <f>2425+AF423</f>
        <v>2460</v>
      </c>
      <c r="AG424" s="42">
        <f>2312+AG423</f>
        <v>2383</v>
      </c>
      <c r="AH424" s="53">
        <f>AVERAGE(AC424:AG424)</f>
        <v>2675.6</v>
      </c>
      <c r="AI424" s="25" t="s">
        <v>93</v>
      </c>
      <c r="AJ424" s="25"/>
      <c r="AK424" s="132">
        <f>AL424-AP424</f>
        <v>1126</v>
      </c>
      <c r="AL424" s="42">
        <f t="shared" si="193"/>
        <v>5892</v>
      </c>
      <c r="AM424" s="42">
        <f t="shared" si="193"/>
        <v>5330</v>
      </c>
      <c r="AN424" s="42">
        <f t="shared" si="193"/>
        <v>5848</v>
      </c>
      <c r="AO424" s="42">
        <f t="shared" si="193"/>
        <v>4920</v>
      </c>
      <c r="AP424" s="42">
        <f t="shared" si="193"/>
        <v>4766</v>
      </c>
      <c r="AQ424" s="53">
        <f>AVERAGE(AL424:AP424)</f>
        <v>5351.2</v>
      </c>
      <c r="AR424" s="60" t="s">
        <v>93</v>
      </c>
      <c r="AS424" s="60"/>
      <c r="AT424" s="132">
        <f>AU424-AY424</f>
        <v>459432</v>
      </c>
      <c r="AU424" s="65">
        <v>871432</v>
      </c>
      <c r="AV424" s="65">
        <v>776827</v>
      </c>
      <c r="AW424" s="65">
        <v>588122</v>
      </c>
      <c r="AX424" s="65">
        <v>455275</v>
      </c>
      <c r="AY424" s="65">
        <v>412000</v>
      </c>
      <c r="AZ424" s="53">
        <f>AVERAGE(AU424:AY424)</f>
        <v>620731.2</v>
      </c>
      <c r="BA424" s="133" t="s">
        <v>93</v>
      </c>
      <c r="BC424" s="146">
        <f>BD424-BH424</f>
        <v>918864</v>
      </c>
      <c r="BD424" s="147">
        <f t="shared" si="194"/>
        <v>1742864</v>
      </c>
      <c r="BE424" s="147">
        <f t="shared" si="194"/>
        <v>1553654</v>
      </c>
      <c r="BF424" s="147">
        <f t="shared" si="194"/>
        <v>1176244</v>
      </c>
      <c r="BG424" s="147">
        <f t="shared" si="194"/>
        <v>910550</v>
      </c>
      <c r="BH424" s="147">
        <f t="shared" si="194"/>
        <v>824000</v>
      </c>
      <c r="BI424" s="53">
        <f>AVERAGE(BD424:BH424)</f>
        <v>1241462.4</v>
      </c>
    </row>
    <row r="425" spans="8:61" ht="12">
      <c r="H425" s="60"/>
      <c r="I425" s="60"/>
      <c r="J425" s="60"/>
      <c r="K425" s="62" t="s">
        <v>71</v>
      </c>
      <c r="L425" s="62" t="s">
        <v>71</v>
      </c>
      <c r="M425" s="62" t="s">
        <v>71</v>
      </c>
      <c r="N425" s="62" t="s">
        <v>71</v>
      </c>
      <c r="O425" s="62" t="s">
        <v>71</v>
      </c>
      <c r="P425" s="63" t="s">
        <v>71</v>
      </c>
      <c r="Q425" s="25" t="s">
        <v>72</v>
      </c>
      <c r="S425" s="132">
        <f>T425-X425</f>
        <v>9698</v>
      </c>
      <c r="T425" s="42">
        <v>22442</v>
      </c>
      <c r="U425" s="42">
        <v>16877</v>
      </c>
      <c r="V425" s="42">
        <v>14969</v>
      </c>
      <c r="W425" s="42">
        <v>13974</v>
      </c>
      <c r="X425" s="42">
        <v>12744</v>
      </c>
      <c r="Y425" s="53">
        <f>AVERAGE(T425:X425)</f>
        <v>16201.2</v>
      </c>
      <c r="Z425" s="25" t="s">
        <v>72</v>
      </c>
      <c r="AB425" s="132">
        <f>AC425-AG425</f>
        <v>90</v>
      </c>
      <c r="AC425" s="42">
        <v>1135</v>
      </c>
      <c r="AD425" s="42">
        <v>524</v>
      </c>
      <c r="AE425" s="42">
        <f>1749+93</f>
        <v>1842</v>
      </c>
      <c r="AF425" s="42">
        <f>1182+70</f>
        <v>1252</v>
      </c>
      <c r="AG425" s="42">
        <f>976+69</f>
        <v>1045</v>
      </c>
      <c r="AH425" s="53">
        <f>AVERAGE(AC425:AG425)</f>
        <v>1159.6</v>
      </c>
      <c r="AI425" s="25" t="s">
        <v>72</v>
      </c>
      <c r="AJ425" s="25"/>
      <c r="AK425" s="132">
        <f>AL425-AP425</f>
        <v>180</v>
      </c>
      <c r="AL425" s="42">
        <f t="shared" si="193"/>
        <v>2270</v>
      </c>
      <c r="AM425" s="42">
        <f t="shared" si="193"/>
        <v>1048</v>
      </c>
      <c r="AN425" s="42">
        <f t="shared" si="193"/>
        <v>3684</v>
      </c>
      <c r="AO425" s="42">
        <f t="shared" si="193"/>
        <v>2504</v>
      </c>
      <c r="AP425" s="42">
        <f t="shared" si="193"/>
        <v>2090</v>
      </c>
      <c r="AQ425" s="53">
        <f>AVERAGE(AL425:AP425)</f>
        <v>2319.2</v>
      </c>
      <c r="AR425" s="60" t="s">
        <v>72</v>
      </c>
      <c r="AS425" s="60"/>
      <c r="AT425" s="132">
        <f>AU425-AY425</f>
        <v>113476</v>
      </c>
      <c r="AU425" s="65">
        <f>132143+384222</f>
        <v>516365</v>
      </c>
      <c r="AV425" s="65">
        <f>110407+342867</f>
        <v>453274</v>
      </c>
      <c r="AW425" s="65">
        <f>99803+283315</f>
        <v>383118</v>
      </c>
      <c r="AX425" s="65">
        <v>451718</v>
      </c>
      <c r="AY425" s="65">
        <v>402889</v>
      </c>
      <c r="AZ425" s="53">
        <f>AVERAGE(AU425:AY425)</f>
        <v>441472.8</v>
      </c>
      <c r="BA425" s="133" t="s">
        <v>72</v>
      </c>
      <c r="BC425" s="146">
        <f>BD425-BH425</f>
        <v>226952</v>
      </c>
      <c r="BD425" s="147">
        <f t="shared" si="194"/>
        <v>1032730</v>
      </c>
      <c r="BE425" s="147">
        <f t="shared" si="194"/>
        <v>906548</v>
      </c>
      <c r="BF425" s="147">
        <f t="shared" si="194"/>
        <v>766236</v>
      </c>
      <c r="BG425" s="147">
        <f t="shared" si="194"/>
        <v>903436</v>
      </c>
      <c r="BH425" s="147">
        <f t="shared" si="194"/>
        <v>805778</v>
      </c>
      <c r="BI425" s="53">
        <f>AVERAGE(BD425:BH425)</f>
        <v>882945.6</v>
      </c>
    </row>
    <row r="426" spans="8:61" ht="12">
      <c r="H426" s="60"/>
      <c r="I426" s="60"/>
      <c r="J426" s="60"/>
      <c r="K426" s="62" t="s">
        <v>68</v>
      </c>
      <c r="L426" s="62" t="s">
        <v>68</v>
      </c>
      <c r="M426" s="62" t="s">
        <v>68</v>
      </c>
      <c r="N426" s="62" t="s">
        <v>68</v>
      </c>
      <c r="O426" s="62" t="s">
        <v>68</v>
      </c>
      <c r="P426" s="63" t="s">
        <v>68</v>
      </c>
      <c r="Q426" s="25" t="s">
        <v>35</v>
      </c>
      <c r="S426" s="132">
        <f>T426-X426</f>
        <v>14027</v>
      </c>
      <c r="T426" s="42">
        <f>69597-T427</f>
        <v>29493</v>
      </c>
      <c r="U426" s="42">
        <f>70815-U427</f>
        <v>22700</v>
      </c>
      <c r="V426" s="42">
        <f>92389-V427</f>
        <v>17564</v>
      </c>
      <c r="W426" s="42">
        <f>79571-W427</f>
        <v>18551</v>
      </c>
      <c r="X426" s="42">
        <f>67646-X427</f>
        <v>15466</v>
      </c>
      <c r="Y426" s="53">
        <f>AVERAGE(T426:X426)</f>
        <v>20754.8</v>
      </c>
      <c r="Z426" s="25" t="s">
        <v>35</v>
      </c>
      <c r="AB426" s="132">
        <f>AC426-AG426</f>
        <v>521</v>
      </c>
      <c r="AC426" s="42">
        <v>2006</v>
      </c>
      <c r="AD426" s="42">
        <v>1682</v>
      </c>
      <c r="AE426" s="42">
        <f>375+AE425</f>
        <v>2217</v>
      </c>
      <c r="AF426" s="42">
        <f>419+AF425</f>
        <v>1671</v>
      </c>
      <c r="AG426" s="42">
        <f>436+4+AG425</f>
        <v>1485</v>
      </c>
      <c r="AH426" s="53">
        <f>AVERAGE(AC426:AG426)</f>
        <v>1812.2</v>
      </c>
      <c r="AI426" s="25" t="s">
        <v>35</v>
      </c>
      <c r="AJ426" s="25"/>
      <c r="AK426" s="132">
        <f>AL426-AP426</f>
        <v>1042</v>
      </c>
      <c r="AL426" s="42">
        <f t="shared" si="193"/>
        <v>4012</v>
      </c>
      <c r="AM426" s="42">
        <f t="shared" si="193"/>
        <v>3364</v>
      </c>
      <c r="AN426" s="42">
        <f t="shared" si="193"/>
        <v>4434</v>
      </c>
      <c r="AO426" s="42">
        <f t="shared" si="193"/>
        <v>3342</v>
      </c>
      <c r="AP426" s="42">
        <f t="shared" si="193"/>
        <v>2970</v>
      </c>
      <c r="AQ426" s="53">
        <f>AVERAGE(AL426:AP426)</f>
        <v>3624.4</v>
      </c>
      <c r="AR426" s="60" t="s">
        <v>35</v>
      </c>
      <c r="AS426" s="60"/>
      <c r="AT426" s="132">
        <f>AU426-AY426</f>
        <v>413942</v>
      </c>
      <c r="AU426" s="65">
        <v>825942</v>
      </c>
      <c r="AV426" s="65">
        <v>739283</v>
      </c>
      <c r="AW426" s="65">
        <v>550725</v>
      </c>
      <c r="AX426" s="65">
        <v>455275</v>
      </c>
      <c r="AY426" s="65">
        <v>412000</v>
      </c>
      <c r="AZ426" s="53">
        <f>AVERAGE(AU426:AY426)</f>
        <v>596645</v>
      </c>
      <c r="BA426" s="133" t="s">
        <v>35</v>
      </c>
      <c r="BC426" s="146">
        <f>BD426-BH426</f>
        <v>827884</v>
      </c>
      <c r="BD426" s="147">
        <f t="shared" si="194"/>
        <v>1651884</v>
      </c>
      <c r="BE426" s="147">
        <f t="shared" si="194"/>
        <v>1478566</v>
      </c>
      <c r="BF426" s="147">
        <f t="shared" si="194"/>
        <v>1101450</v>
      </c>
      <c r="BG426" s="147">
        <f t="shared" si="194"/>
        <v>910550</v>
      </c>
      <c r="BH426" s="147">
        <f t="shared" si="194"/>
        <v>824000</v>
      </c>
      <c r="BI426" s="53">
        <f>AVERAGE(BD426:BH426)</f>
        <v>1193290</v>
      </c>
    </row>
    <row r="427" spans="8:61" ht="12">
      <c r="H427" s="60" t="s">
        <v>26</v>
      </c>
      <c r="I427" s="64"/>
      <c r="J427" s="64"/>
      <c r="K427" s="65">
        <v>287</v>
      </c>
      <c r="L427" s="65">
        <v>263</v>
      </c>
      <c r="M427" s="65"/>
      <c r="N427" s="65"/>
      <c r="O427" s="65"/>
      <c r="P427" s="66">
        <f>AVERAGE(K427:O427)</f>
        <v>275</v>
      </c>
      <c r="Q427" s="25" t="s">
        <v>100</v>
      </c>
      <c r="S427" s="132">
        <f>T427-X427</f>
        <v>-12076</v>
      </c>
      <c r="T427" s="42">
        <v>40104</v>
      </c>
      <c r="U427" s="42">
        <v>48115</v>
      </c>
      <c r="V427" s="42">
        <v>74825</v>
      </c>
      <c r="W427" s="42">
        <v>61020</v>
      </c>
      <c r="X427" s="42">
        <v>52180</v>
      </c>
      <c r="Y427" s="53">
        <f>AVERAGE(T427:X427)</f>
        <v>55248.8</v>
      </c>
      <c r="Z427" s="25" t="s">
        <v>100</v>
      </c>
      <c r="AB427" s="132">
        <f>AC427-AG427</f>
        <v>2048</v>
      </c>
      <c r="AC427" s="42">
        <v>2946</v>
      </c>
      <c r="AD427" s="42">
        <v>2665</v>
      </c>
      <c r="AE427" s="42">
        <v>707</v>
      </c>
      <c r="AF427" s="42">
        <v>789</v>
      </c>
      <c r="AG427" s="42">
        <v>898</v>
      </c>
      <c r="AH427" s="53">
        <f>AVERAGE(AC427:AG427)</f>
        <v>1601</v>
      </c>
      <c r="AI427" s="25" t="s">
        <v>100</v>
      </c>
      <c r="AJ427" s="25"/>
      <c r="AK427" s="132">
        <f>AL427-AP427</f>
        <v>4096</v>
      </c>
      <c r="AL427" s="42">
        <f t="shared" si="193"/>
        <v>5892</v>
      </c>
      <c r="AM427" s="42">
        <f t="shared" si="193"/>
        <v>5330</v>
      </c>
      <c r="AN427" s="42">
        <f t="shared" si="193"/>
        <v>1414</v>
      </c>
      <c r="AO427" s="42">
        <f t="shared" si="193"/>
        <v>1578</v>
      </c>
      <c r="AP427" s="42">
        <f t="shared" si="193"/>
        <v>1796</v>
      </c>
      <c r="AQ427" s="53">
        <f>AVERAGE(AL427:AP427)</f>
        <v>3202</v>
      </c>
      <c r="AR427" s="60" t="s">
        <v>100</v>
      </c>
      <c r="AS427" s="60"/>
      <c r="AT427" s="132">
        <f>AU427-AY427</f>
        <v>21945</v>
      </c>
      <c r="AU427" s="65">
        <v>45490</v>
      </c>
      <c r="AV427" s="65">
        <v>37544</v>
      </c>
      <c r="AW427" s="65">
        <v>37397</v>
      </c>
      <c r="AX427" s="65">
        <v>25176</v>
      </c>
      <c r="AY427" s="65">
        <v>23545</v>
      </c>
      <c r="AZ427" s="53">
        <f>AVERAGE(AU427:AY427)</f>
        <v>33830.4</v>
      </c>
      <c r="BA427" s="133" t="s">
        <v>100</v>
      </c>
      <c r="BC427" s="146">
        <f>BD427-BH427</f>
        <v>43890</v>
      </c>
      <c r="BD427" s="147">
        <f t="shared" si="194"/>
        <v>90980</v>
      </c>
      <c r="BE427" s="147">
        <f t="shared" si="194"/>
        <v>75088</v>
      </c>
      <c r="BF427" s="147">
        <f t="shared" si="194"/>
        <v>74794</v>
      </c>
      <c r="BG427" s="147">
        <f t="shared" si="194"/>
        <v>50352</v>
      </c>
      <c r="BH427" s="147">
        <f t="shared" si="194"/>
        <v>47090</v>
      </c>
      <c r="BI427" s="53">
        <f>AVERAGE(BD427:BH427)</f>
        <v>67660.8</v>
      </c>
    </row>
    <row r="428" spans="8:61" ht="12">
      <c r="H428" s="60" t="s">
        <v>93</v>
      </c>
      <c r="I428" s="60"/>
      <c r="J428" s="60"/>
      <c r="K428" s="65">
        <v>13512</v>
      </c>
      <c r="L428" s="65">
        <v>12278</v>
      </c>
      <c r="M428" s="65"/>
      <c r="N428" s="65"/>
      <c r="O428" s="65"/>
      <c r="P428" s="66">
        <f>AVERAGE(K428:O428)</f>
        <v>12895</v>
      </c>
      <c r="Q428" s="22"/>
      <c r="R428" s="22"/>
      <c r="S428" s="22"/>
      <c r="T428" s="42"/>
      <c r="U428" s="42"/>
      <c r="V428" s="42"/>
      <c r="W428" s="42"/>
      <c r="X428" s="42"/>
      <c r="Y428" s="53"/>
      <c r="Z428" s="22"/>
      <c r="AA428" s="22"/>
      <c r="AB428" s="22"/>
      <c r="AC428" s="42"/>
      <c r="AD428" s="42"/>
      <c r="AE428" s="42"/>
      <c r="AF428" s="42"/>
      <c r="AG428" s="42"/>
      <c r="AH428" s="53"/>
      <c r="AI428" s="22"/>
      <c r="AJ428" s="22"/>
      <c r="AK428" s="22"/>
      <c r="AL428" s="42"/>
      <c r="AM428" s="42"/>
      <c r="AN428" s="42"/>
      <c r="AO428" s="42"/>
      <c r="AP428" s="42"/>
      <c r="AQ428" s="53"/>
      <c r="AR428" s="64"/>
      <c r="AS428" s="64"/>
      <c r="AT428" s="64"/>
      <c r="AU428" s="65"/>
      <c r="AV428" s="65"/>
      <c r="AW428" s="65"/>
      <c r="AX428" s="65"/>
      <c r="AY428" s="65"/>
      <c r="AZ428" s="53"/>
      <c r="BA428" s="139"/>
      <c r="BB428" s="139"/>
      <c r="BC428" s="139"/>
      <c r="BD428" s="147"/>
      <c r="BE428" s="147"/>
      <c r="BF428" s="147"/>
      <c r="BG428" s="147"/>
      <c r="BH428" s="147"/>
      <c r="BI428" s="53"/>
    </row>
    <row r="429" spans="8:61" ht="12">
      <c r="H429" s="60" t="s">
        <v>72</v>
      </c>
      <c r="I429" s="60"/>
      <c r="J429" s="60"/>
      <c r="K429" s="65">
        <v>546</v>
      </c>
      <c r="L429" s="65">
        <v>759</v>
      </c>
      <c r="M429" s="65"/>
      <c r="N429" s="65"/>
      <c r="O429" s="65"/>
      <c r="P429" s="66">
        <f>AVERAGE(K429:O429)</f>
        <v>652.5</v>
      </c>
      <c r="Q429" s="25" t="s">
        <v>73</v>
      </c>
      <c r="S429" s="132">
        <f aca="true" t="shared" si="195" ref="S429:S434">T429-X429</f>
        <v>15917</v>
      </c>
      <c r="T429" s="42">
        <v>44282</v>
      </c>
      <c r="U429" s="42">
        <v>39788</v>
      </c>
      <c r="V429" s="42">
        <v>36835</v>
      </c>
      <c r="W429" s="42">
        <v>32187</v>
      </c>
      <c r="X429" s="42">
        <v>28365</v>
      </c>
      <c r="Y429" s="53">
        <f aca="true" t="shared" si="196" ref="Y429:Y434">AVERAGE(T429:X429)</f>
        <v>36291.4</v>
      </c>
      <c r="Z429" s="25" t="s">
        <v>73</v>
      </c>
      <c r="AB429" s="132">
        <f aca="true" t="shared" si="197" ref="AB429:AB434">AC429-AG429</f>
        <v>-224</v>
      </c>
      <c r="AC429" s="42">
        <v>3720</v>
      </c>
      <c r="AD429" s="42">
        <v>3339</v>
      </c>
      <c r="AE429" s="42">
        <v>3167</v>
      </c>
      <c r="AF429" s="42">
        <v>3167</v>
      </c>
      <c r="AG429" s="42">
        <v>3944</v>
      </c>
      <c r="AH429" s="53">
        <f aca="true" t="shared" si="198" ref="AH429:AH434">AVERAGE(AC429:AG429)</f>
        <v>3467.4</v>
      </c>
      <c r="AI429" s="25" t="s">
        <v>73</v>
      </c>
      <c r="AJ429" s="25"/>
      <c r="AK429" s="132">
        <f aca="true" t="shared" si="199" ref="AK429:AK434">AL429-AP429</f>
        <v>-448</v>
      </c>
      <c r="AL429" s="42">
        <f aca="true" t="shared" si="200" ref="AL429:AP434">2*AC429</f>
        <v>7440</v>
      </c>
      <c r="AM429" s="42">
        <f t="shared" si="200"/>
        <v>6678</v>
      </c>
      <c r="AN429" s="42">
        <f t="shared" si="200"/>
        <v>6334</v>
      </c>
      <c r="AO429" s="42">
        <f t="shared" si="200"/>
        <v>6334</v>
      </c>
      <c r="AP429" s="42">
        <f t="shared" si="200"/>
        <v>7888</v>
      </c>
      <c r="AQ429" s="53">
        <f aca="true" t="shared" si="201" ref="AQ429:AQ434">AVERAGE(AL429:AP429)</f>
        <v>6934.8</v>
      </c>
      <c r="AR429" s="60" t="s">
        <v>73</v>
      </c>
      <c r="AS429" s="60"/>
      <c r="AT429" s="132">
        <f aca="true" t="shared" si="202" ref="AT429:AT434">AU429-AY429</f>
        <v>11187</v>
      </c>
      <c r="AU429" s="65">
        <v>28002</v>
      </c>
      <c r="AV429" s="65">
        <v>25902</v>
      </c>
      <c r="AW429" s="65">
        <v>23391</v>
      </c>
      <c r="AX429" s="65">
        <v>19229</v>
      </c>
      <c r="AY429" s="65">
        <v>16815</v>
      </c>
      <c r="AZ429" s="53">
        <f aca="true" t="shared" si="203" ref="AZ429:AZ434">AVERAGE(AU429:AY429)</f>
        <v>22667.8</v>
      </c>
      <c r="BA429" s="133" t="s">
        <v>73</v>
      </c>
      <c r="BC429" s="146">
        <f aca="true" t="shared" si="204" ref="BC429:BC434">BD429-BH429</f>
        <v>22374</v>
      </c>
      <c r="BD429" s="147">
        <f aca="true" t="shared" si="205" ref="BD429:BH434">2*AU429</f>
        <v>56004</v>
      </c>
      <c r="BE429" s="147">
        <f t="shared" si="205"/>
        <v>51804</v>
      </c>
      <c r="BF429" s="147">
        <f t="shared" si="205"/>
        <v>46782</v>
      </c>
      <c r="BG429" s="147">
        <f t="shared" si="205"/>
        <v>38458</v>
      </c>
      <c r="BH429" s="147">
        <f t="shared" si="205"/>
        <v>33630</v>
      </c>
      <c r="BI429" s="53">
        <f aca="true" t="shared" si="206" ref="BI429:BI434">AVERAGE(BD429:BH429)</f>
        <v>45335.6</v>
      </c>
    </row>
    <row r="430" spans="8:61" ht="12">
      <c r="H430" s="60" t="s">
        <v>35</v>
      </c>
      <c r="I430" s="60"/>
      <c r="J430" s="60"/>
      <c r="K430" s="65">
        <v>7496</v>
      </c>
      <c r="L430" s="65">
        <v>7495</v>
      </c>
      <c r="M430" s="65"/>
      <c r="N430" s="65"/>
      <c r="O430" s="65"/>
      <c r="P430" s="66">
        <f>AVERAGE(K430:O430)</f>
        <v>7495.5</v>
      </c>
      <c r="Q430" s="25" t="s">
        <v>74</v>
      </c>
      <c r="S430" s="132">
        <f t="shared" si="195"/>
        <v>11355</v>
      </c>
      <c r="T430" s="42">
        <v>27810</v>
      </c>
      <c r="U430" s="42">
        <v>25227</v>
      </c>
      <c r="V430" s="42">
        <v>27801</v>
      </c>
      <c r="W430" s="42">
        <v>18970</v>
      </c>
      <c r="X430" s="42">
        <v>16455</v>
      </c>
      <c r="Y430" s="53">
        <f t="shared" si="196"/>
        <v>23252.6</v>
      </c>
      <c r="Z430" s="25" t="s">
        <v>74</v>
      </c>
      <c r="AB430" s="132">
        <f t="shared" si="197"/>
        <v>-50</v>
      </c>
      <c r="AC430" s="42">
        <f>AC429-AC431</f>
        <v>3678</v>
      </c>
      <c r="AD430" s="42">
        <f>AD429-AD431</f>
        <v>3134</v>
      </c>
      <c r="AE430" s="42">
        <f>AE429-AE431</f>
        <v>2918</v>
      </c>
      <c r="AF430" s="42">
        <f>AF429-AF431</f>
        <v>2960</v>
      </c>
      <c r="AG430" s="42">
        <f>AG429-AG431</f>
        <v>3728</v>
      </c>
      <c r="AH430" s="53">
        <f t="shared" si="198"/>
        <v>3283.6</v>
      </c>
      <c r="AI430" s="25" t="s">
        <v>74</v>
      </c>
      <c r="AJ430" s="25"/>
      <c r="AK430" s="132">
        <f t="shared" si="199"/>
        <v>-100</v>
      </c>
      <c r="AL430" s="42">
        <f t="shared" si="200"/>
        <v>7356</v>
      </c>
      <c r="AM430" s="42">
        <f t="shared" si="200"/>
        <v>6268</v>
      </c>
      <c r="AN430" s="42">
        <f t="shared" si="200"/>
        <v>5836</v>
      </c>
      <c r="AO430" s="42">
        <f t="shared" si="200"/>
        <v>5920</v>
      </c>
      <c r="AP430" s="42">
        <f t="shared" si="200"/>
        <v>7456</v>
      </c>
      <c r="AQ430" s="53">
        <f t="shared" si="201"/>
        <v>6567.2</v>
      </c>
      <c r="AR430" s="60" t="s">
        <v>74</v>
      </c>
      <c r="AS430" s="60"/>
      <c r="AT430" s="132">
        <f t="shared" si="202"/>
        <v>3123</v>
      </c>
      <c r="AU430" s="65">
        <v>12480</v>
      </c>
      <c r="AV430" s="65">
        <v>11946</v>
      </c>
      <c r="AW430" s="65">
        <v>10362</v>
      </c>
      <c r="AX430" s="65">
        <v>9381</v>
      </c>
      <c r="AY430" s="65">
        <v>9357</v>
      </c>
      <c r="AZ430" s="53">
        <f t="shared" si="203"/>
        <v>10705.2</v>
      </c>
      <c r="BA430" s="133" t="s">
        <v>74</v>
      </c>
      <c r="BC430" s="146">
        <f t="shared" si="204"/>
        <v>6246</v>
      </c>
      <c r="BD430" s="147">
        <f t="shared" si="205"/>
        <v>24960</v>
      </c>
      <c r="BE430" s="147">
        <f t="shared" si="205"/>
        <v>23892</v>
      </c>
      <c r="BF430" s="147">
        <f t="shared" si="205"/>
        <v>20724</v>
      </c>
      <c r="BG430" s="147">
        <f t="shared" si="205"/>
        <v>18762</v>
      </c>
      <c r="BH430" s="147">
        <f t="shared" si="205"/>
        <v>18714</v>
      </c>
      <c r="BI430" s="53">
        <f t="shared" si="206"/>
        <v>21410.4</v>
      </c>
    </row>
    <row r="431" spans="8:61" ht="12">
      <c r="H431" s="60" t="s">
        <v>100</v>
      </c>
      <c r="I431" s="60"/>
      <c r="J431" s="60"/>
      <c r="K431" s="65">
        <v>6016</v>
      </c>
      <c r="L431" s="65">
        <v>4783</v>
      </c>
      <c r="M431" s="65"/>
      <c r="N431" s="65"/>
      <c r="O431" s="65"/>
      <c r="P431" s="66">
        <f>AVERAGE(K431:O431)</f>
        <v>5399.5</v>
      </c>
      <c r="Q431" s="25" t="s">
        <v>116</v>
      </c>
      <c r="S431" s="132">
        <f t="shared" si="195"/>
        <v>4562</v>
      </c>
      <c r="T431" s="42">
        <f>T429-T430</f>
        <v>16472</v>
      </c>
      <c r="U431" s="42">
        <f>U429-U430</f>
        <v>14561</v>
      </c>
      <c r="V431" s="42">
        <f>V429-V430</f>
        <v>9034</v>
      </c>
      <c r="W431" s="42">
        <f>W429-W430</f>
        <v>13217</v>
      </c>
      <c r="X431" s="42">
        <f>X429-X430</f>
        <v>11910</v>
      </c>
      <c r="Y431" s="53">
        <f t="shared" si="196"/>
        <v>13038.8</v>
      </c>
      <c r="Z431" s="25" t="s">
        <v>116</v>
      </c>
      <c r="AB431" s="132">
        <f t="shared" si="197"/>
        <v>-174</v>
      </c>
      <c r="AC431" s="42">
        <v>42</v>
      </c>
      <c r="AD431" s="42">
        <v>205</v>
      </c>
      <c r="AE431" s="42">
        <v>249</v>
      </c>
      <c r="AF431" s="42">
        <v>207</v>
      </c>
      <c r="AG431" s="42">
        <v>216</v>
      </c>
      <c r="AH431" s="53">
        <f t="shared" si="198"/>
        <v>183.8</v>
      </c>
      <c r="AI431" s="25" t="s">
        <v>116</v>
      </c>
      <c r="AJ431" s="25"/>
      <c r="AK431" s="132">
        <f t="shared" si="199"/>
        <v>-348</v>
      </c>
      <c r="AL431" s="42">
        <f t="shared" si="200"/>
        <v>84</v>
      </c>
      <c r="AM431" s="42">
        <f t="shared" si="200"/>
        <v>410</v>
      </c>
      <c r="AN431" s="42">
        <f t="shared" si="200"/>
        <v>498</v>
      </c>
      <c r="AO431" s="42">
        <f t="shared" si="200"/>
        <v>414</v>
      </c>
      <c r="AP431" s="42">
        <f t="shared" si="200"/>
        <v>432</v>
      </c>
      <c r="AQ431" s="53">
        <f t="shared" si="201"/>
        <v>367.6</v>
      </c>
      <c r="AR431" s="60" t="s">
        <v>116</v>
      </c>
      <c r="AS431" s="60"/>
      <c r="AT431" s="132">
        <f t="shared" si="202"/>
        <v>8064</v>
      </c>
      <c r="AU431" s="65">
        <f>AU429-AU430</f>
        <v>15522</v>
      </c>
      <c r="AV431" s="65">
        <f>AV429-AV430</f>
        <v>13956</v>
      </c>
      <c r="AW431" s="65">
        <f>AW429-AW430</f>
        <v>13029</v>
      </c>
      <c r="AX431" s="65">
        <f>AX429-AX430</f>
        <v>9848</v>
      </c>
      <c r="AY431" s="65">
        <f>AY429-AY430</f>
        <v>7458</v>
      </c>
      <c r="AZ431" s="53">
        <f t="shared" si="203"/>
        <v>11962.6</v>
      </c>
      <c r="BA431" s="133" t="s">
        <v>116</v>
      </c>
      <c r="BC431" s="146">
        <f t="shared" si="204"/>
        <v>16128</v>
      </c>
      <c r="BD431" s="147">
        <f t="shared" si="205"/>
        <v>31044</v>
      </c>
      <c r="BE431" s="147">
        <f t="shared" si="205"/>
        <v>27912</v>
      </c>
      <c r="BF431" s="147">
        <f t="shared" si="205"/>
        <v>26058</v>
      </c>
      <c r="BG431" s="147">
        <f t="shared" si="205"/>
        <v>19696</v>
      </c>
      <c r="BH431" s="147">
        <f t="shared" si="205"/>
        <v>14916</v>
      </c>
      <c r="BI431" s="53">
        <f t="shared" si="206"/>
        <v>23925.2</v>
      </c>
    </row>
    <row r="432" spans="8:61" ht="12">
      <c r="H432" s="64"/>
      <c r="I432" s="64"/>
      <c r="J432" s="64"/>
      <c r="K432" s="65"/>
      <c r="L432" s="65"/>
      <c r="M432" s="65"/>
      <c r="N432" s="65"/>
      <c r="O432" s="65"/>
      <c r="P432" s="66"/>
      <c r="Q432" s="25" t="s">
        <v>82</v>
      </c>
      <c r="S432" s="132">
        <f t="shared" si="195"/>
        <v>0</v>
      </c>
      <c r="T432" s="42">
        <v>0</v>
      </c>
      <c r="U432" s="42">
        <v>0</v>
      </c>
      <c r="V432" s="42">
        <v>0</v>
      </c>
      <c r="W432" s="42">
        <v>0</v>
      </c>
      <c r="X432" s="42">
        <v>0</v>
      </c>
      <c r="Y432" s="53">
        <f t="shared" si="196"/>
        <v>0</v>
      </c>
      <c r="Z432" s="25" t="s">
        <v>82</v>
      </c>
      <c r="AB432" s="132">
        <f t="shared" si="197"/>
        <v>-44</v>
      </c>
      <c r="AC432" s="42">
        <v>65</v>
      </c>
      <c r="AD432" s="42">
        <v>42</v>
      </c>
      <c r="AE432" s="42">
        <v>58</v>
      </c>
      <c r="AF432" s="42">
        <v>51</v>
      </c>
      <c r="AG432" s="42">
        <v>109</v>
      </c>
      <c r="AH432" s="53">
        <f t="shared" si="198"/>
        <v>65</v>
      </c>
      <c r="AI432" s="25" t="s">
        <v>82</v>
      </c>
      <c r="AJ432" s="25"/>
      <c r="AK432" s="132">
        <f t="shared" si="199"/>
        <v>-88</v>
      </c>
      <c r="AL432" s="42">
        <f t="shared" si="200"/>
        <v>130</v>
      </c>
      <c r="AM432" s="42">
        <f t="shared" si="200"/>
        <v>84</v>
      </c>
      <c r="AN432" s="42">
        <f t="shared" si="200"/>
        <v>116</v>
      </c>
      <c r="AO432" s="42">
        <f t="shared" si="200"/>
        <v>102</v>
      </c>
      <c r="AP432" s="42">
        <f t="shared" si="200"/>
        <v>218</v>
      </c>
      <c r="AQ432" s="53">
        <f t="shared" si="201"/>
        <v>130</v>
      </c>
      <c r="AR432" s="60" t="s">
        <v>82</v>
      </c>
      <c r="AS432" s="60"/>
      <c r="AT432" s="132">
        <f t="shared" si="202"/>
        <v>735</v>
      </c>
      <c r="AU432" s="65">
        <v>1409</v>
      </c>
      <c r="AV432" s="65">
        <v>1332</v>
      </c>
      <c r="AW432" s="65">
        <v>613</v>
      </c>
      <c r="AX432" s="65">
        <v>557</v>
      </c>
      <c r="AY432" s="65">
        <v>674</v>
      </c>
      <c r="AZ432" s="53">
        <f t="shared" si="203"/>
        <v>917</v>
      </c>
      <c r="BA432" s="133" t="s">
        <v>82</v>
      </c>
      <c r="BC432" s="146">
        <f t="shared" si="204"/>
        <v>1470</v>
      </c>
      <c r="BD432" s="147">
        <f t="shared" si="205"/>
        <v>2818</v>
      </c>
      <c r="BE432" s="147">
        <f t="shared" si="205"/>
        <v>2664</v>
      </c>
      <c r="BF432" s="147">
        <f t="shared" si="205"/>
        <v>1226</v>
      </c>
      <c r="BG432" s="147">
        <f t="shared" si="205"/>
        <v>1114</v>
      </c>
      <c r="BH432" s="147">
        <f t="shared" si="205"/>
        <v>1348</v>
      </c>
      <c r="BI432" s="53">
        <f t="shared" si="206"/>
        <v>1834</v>
      </c>
    </row>
    <row r="433" spans="8:61" ht="12">
      <c r="H433" s="60" t="s">
        <v>73</v>
      </c>
      <c r="I433" s="60"/>
      <c r="J433" s="60"/>
      <c r="K433" s="65">
        <f>K434+K435</f>
        <v>2462</v>
      </c>
      <c r="L433" s="65">
        <f>L434+L435</f>
        <v>1321</v>
      </c>
      <c r="M433" s="65"/>
      <c r="N433" s="65"/>
      <c r="O433" s="65"/>
      <c r="P433" s="66">
        <f aca="true" t="shared" si="207" ref="P433:P438">AVERAGE(K433:O433)</f>
        <v>1891.5</v>
      </c>
      <c r="Q433" s="25" t="s">
        <v>83</v>
      </c>
      <c r="S433" s="132">
        <f t="shared" si="195"/>
        <v>1979</v>
      </c>
      <c r="T433" s="42">
        <v>5663</v>
      </c>
      <c r="U433" s="42">
        <v>4374</v>
      </c>
      <c r="V433" s="42">
        <v>4028</v>
      </c>
      <c r="W433" s="42">
        <v>4733</v>
      </c>
      <c r="X433" s="42">
        <v>3684</v>
      </c>
      <c r="Y433" s="53">
        <f t="shared" si="196"/>
        <v>4496.4</v>
      </c>
      <c r="Z433" s="25" t="s">
        <v>83</v>
      </c>
      <c r="AB433" s="132">
        <f t="shared" si="197"/>
        <v>63</v>
      </c>
      <c r="AC433" s="42">
        <v>98</v>
      </c>
      <c r="AD433" s="42">
        <v>84</v>
      </c>
      <c r="AE433" s="42">
        <v>74</v>
      </c>
      <c r="AF433" s="42">
        <v>7</v>
      </c>
      <c r="AG433" s="42">
        <v>35</v>
      </c>
      <c r="AH433" s="53">
        <f t="shared" si="198"/>
        <v>59.6</v>
      </c>
      <c r="AI433" s="25" t="s">
        <v>83</v>
      </c>
      <c r="AJ433" s="25"/>
      <c r="AK433" s="132">
        <f t="shared" si="199"/>
        <v>126</v>
      </c>
      <c r="AL433" s="42">
        <f t="shared" si="200"/>
        <v>196</v>
      </c>
      <c r="AM433" s="42">
        <f t="shared" si="200"/>
        <v>168</v>
      </c>
      <c r="AN433" s="42">
        <f t="shared" si="200"/>
        <v>148</v>
      </c>
      <c r="AO433" s="42">
        <f t="shared" si="200"/>
        <v>14</v>
      </c>
      <c r="AP433" s="42">
        <f t="shared" si="200"/>
        <v>70</v>
      </c>
      <c r="AQ433" s="53">
        <f t="shared" si="201"/>
        <v>119.2</v>
      </c>
      <c r="AR433" s="60" t="s">
        <v>83</v>
      </c>
      <c r="AS433" s="60"/>
      <c r="AT433" s="132">
        <f t="shared" si="202"/>
        <v>1122</v>
      </c>
      <c r="AU433" s="65">
        <v>2229</v>
      </c>
      <c r="AV433" s="65">
        <v>1911</v>
      </c>
      <c r="AW433" s="65">
        <v>1394</v>
      </c>
      <c r="AX433" s="65">
        <v>1454</v>
      </c>
      <c r="AY433" s="65">
        <v>1107</v>
      </c>
      <c r="AZ433" s="53">
        <f t="shared" si="203"/>
        <v>1619</v>
      </c>
      <c r="BA433" s="133" t="s">
        <v>83</v>
      </c>
      <c r="BC433" s="146">
        <f t="shared" si="204"/>
        <v>2244</v>
      </c>
      <c r="BD433" s="147">
        <f t="shared" si="205"/>
        <v>4458</v>
      </c>
      <c r="BE433" s="147">
        <f t="shared" si="205"/>
        <v>3822</v>
      </c>
      <c r="BF433" s="147">
        <f t="shared" si="205"/>
        <v>2788</v>
      </c>
      <c r="BG433" s="147">
        <f t="shared" si="205"/>
        <v>2908</v>
      </c>
      <c r="BH433" s="147">
        <f t="shared" si="205"/>
        <v>2214</v>
      </c>
      <c r="BI433" s="53">
        <f t="shared" si="206"/>
        <v>3238</v>
      </c>
    </row>
    <row r="434" spans="8:61" ht="12">
      <c r="H434" s="60" t="s">
        <v>74</v>
      </c>
      <c r="I434" s="60"/>
      <c r="J434" s="60"/>
      <c r="K434" s="65">
        <v>872</v>
      </c>
      <c r="L434" s="65">
        <v>583</v>
      </c>
      <c r="M434" s="65"/>
      <c r="N434" s="65"/>
      <c r="O434" s="65"/>
      <c r="P434" s="66">
        <f t="shared" si="207"/>
        <v>727.5</v>
      </c>
      <c r="Q434" s="25" t="s">
        <v>98</v>
      </c>
      <c r="S434" s="132">
        <f t="shared" si="195"/>
        <v>4770</v>
      </c>
      <c r="T434" s="42">
        <v>12599</v>
      </c>
      <c r="U434" s="42">
        <v>12254</v>
      </c>
      <c r="V434" s="42">
        <v>8168</v>
      </c>
      <c r="W434" s="42">
        <v>9993</v>
      </c>
      <c r="X434" s="42">
        <v>7829</v>
      </c>
      <c r="Y434" s="53">
        <f t="shared" si="196"/>
        <v>10168.6</v>
      </c>
      <c r="Z434" s="25" t="s">
        <v>98</v>
      </c>
      <c r="AB434" s="132">
        <f t="shared" si="197"/>
        <v>-145</v>
      </c>
      <c r="AC434" s="42">
        <v>-27</v>
      </c>
      <c r="AD434" s="42">
        <v>150</v>
      </c>
      <c r="AE434" s="42">
        <v>154</v>
      </c>
      <c r="AF434" s="42">
        <v>132</v>
      </c>
      <c r="AG434" s="42">
        <v>118</v>
      </c>
      <c r="AH434" s="53">
        <f t="shared" si="198"/>
        <v>105.4</v>
      </c>
      <c r="AI434" s="25" t="s">
        <v>98</v>
      </c>
      <c r="AJ434" s="25"/>
      <c r="AK434" s="132">
        <f t="shared" si="199"/>
        <v>-290</v>
      </c>
      <c r="AL434" s="42">
        <f t="shared" si="200"/>
        <v>-54</v>
      </c>
      <c r="AM434" s="42">
        <f t="shared" si="200"/>
        <v>300</v>
      </c>
      <c r="AN434" s="42">
        <f t="shared" si="200"/>
        <v>308</v>
      </c>
      <c r="AO434" s="42">
        <f t="shared" si="200"/>
        <v>264</v>
      </c>
      <c r="AP434" s="42">
        <f t="shared" si="200"/>
        <v>236</v>
      </c>
      <c r="AQ434" s="53">
        <f t="shared" si="201"/>
        <v>210.8</v>
      </c>
      <c r="AR434" s="60" t="s">
        <v>98</v>
      </c>
      <c r="AS434" s="60"/>
      <c r="AT434" s="132">
        <f t="shared" si="202"/>
        <v>3423</v>
      </c>
      <c r="AU434" s="65">
        <v>6497</v>
      </c>
      <c r="AV434" s="65">
        <v>5558</v>
      </c>
      <c r="AW434" s="65">
        <v>5289</v>
      </c>
      <c r="AX434" s="65">
        <v>4039</v>
      </c>
      <c r="AY434" s="65">
        <v>3074</v>
      </c>
      <c r="AZ434" s="53">
        <f t="shared" si="203"/>
        <v>4891.4</v>
      </c>
      <c r="BA434" s="133" t="s">
        <v>98</v>
      </c>
      <c r="BC434" s="146">
        <f t="shared" si="204"/>
        <v>6846</v>
      </c>
      <c r="BD434" s="147">
        <f t="shared" si="205"/>
        <v>12994</v>
      </c>
      <c r="BE434" s="147">
        <f t="shared" si="205"/>
        <v>11116</v>
      </c>
      <c r="BF434" s="147">
        <f t="shared" si="205"/>
        <v>10578</v>
      </c>
      <c r="BG434" s="147">
        <f t="shared" si="205"/>
        <v>8078</v>
      </c>
      <c r="BH434" s="147">
        <f t="shared" si="205"/>
        <v>6148</v>
      </c>
      <c r="BI434" s="53">
        <f t="shared" si="206"/>
        <v>9782.8</v>
      </c>
    </row>
    <row r="435" spans="8:61" ht="12">
      <c r="H435" s="60" t="s">
        <v>116</v>
      </c>
      <c r="I435" s="60"/>
      <c r="J435" s="60"/>
      <c r="K435" s="65">
        <v>1590</v>
      </c>
      <c r="L435" s="65">
        <v>738</v>
      </c>
      <c r="M435" s="65">
        <f>M433-M434</f>
        <v>0</v>
      </c>
      <c r="N435" s="65">
        <f>N433-N434</f>
        <v>0</v>
      </c>
      <c r="O435" s="65">
        <f>O433-O434</f>
        <v>0</v>
      </c>
      <c r="P435" s="66">
        <f t="shared" si="207"/>
        <v>465.6</v>
      </c>
      <c r="Q435" s="22"/>
      <c r="R435" s="22"/>
      <c r="S435" s="22"/>
      <c r="T435" s="42"/>
      <c r="U435" s="42"/>
      <c r="V435" s="42"/>
      <c r="W435" s="42"/>
      <c r="X435" s="42"/>
      <c r="Y435" s="53"/>
      <c r="Z435" s="22"/>
      <c r="AA435" s="22"/>
      <c r="AB435" s="22"/>
      <c r="AC435" s="42"/>
      <c r="AD435" s="42"/>
      <c r="AE435" s="42"/>
      <c r="AF435" s="42"/>
      <c r="AG435" s="42"/>
      <c r="AH435" s="53"/>
      <c r="AI435" s="22"/>
      <c r="AJ435" s="22"/>
      <c r="AK435" s="22"/>
      <c r="AL435" s="42"/>
      <c r="AM435" s="42"/>
      <c r="AN435" s="42"/>
      <c r="AO435" s="42"/>
      <c r="AP435" s="42"/>
      <c r="AQ435" s="53"/>
      <c r="AR435" s="64"/>
      <c r="AS435" s="64"/>
      <c r="AT435" s="64"/>
      <c r="AU435" s="65"/>
      <c r="AV435" s="65"/>
      <c r="AW435" s="65"/>
      <c r="AX435" s="65"/>
      <c r="AY435" s="65"/>
      <c r="AZ435" s="53"/>
      <c r="BA435" s="139"/>
      <c r="BB435" s="139"/>
      <c r="BC435" s="139"/>
      <c r="BD435" s="147"/>
      <c r="BE435" s="147"/>
      <c r="BF435" s="147"/>
      <c r="BG435" s="147"/>
      <c r="BH435" s="147"/>
      <c r="BI435" s="53"/>
    </row>
    <row r="436" spans="8:61" ht="12">
      <c r="H436" s="60" t="s">
        <v>82</v>
      </c>
      <c r="I436" s="60"/>
      <c r="J436" s="60"/>
      <c r="K436" s="65">
        <v>392</v>
      </c>
      <c r="L436" s="65">
        <v>351</v>
      </c>
      <c r="M436" s="65"/>
      <c r="N436" s="65"/>
      <c r="O436" s="65"/>
      <c r="P436" s="66">
        <f t="shared" si="207"/>
        <v>371.5</v>
      </c>
      <c r="Q436" s="25" t="s">
        <v>60</v>
      </c>
      <c r="S436" s="28" t="s">
        <v>17</v>
      </c>
      <c r="T436" s="28" t="s">
        <v>38</v>
      </c>
      <c r="U436" s="28" t="s">
        <v>38</v>
      </c>
      <c r="V436" s="28" t="s">
        <v>38</v>
      </c>
      <c r="W436" s="28" t="s">
        <v>38</v>
      </c>
      <c r="X436" s="28" t="s">
        <v>38</v>
      </c>
      <c r="Y436" s="143" t="s">
        <v>38</v>
      </c>
      <c r="AH436" s="137"/>
      <c r="AI436" s="25" t="s">
        <v>60</v>
      </c>
      <c r="AJ436" s="25"/>
      <c r="AK436" s="28" t="s">
        <v>17</v>
      </c>
      <c r="AL436" s="28" t="s">
        <v>38</v>
      </c>
      <c r="AM436" s="28" t="s">
        <v>38</v>
      </c>
      <c r="AN436" s="28" t="s">
        <v>38</v>
      </c>
      <c r="AO436" s="28" t="s">
        <v>38</v>
      </c>
      <c r="AP436" s="28" t="s">
        <v>38</v>
      </c>
      <c r="AQ436" s="143" t="s">
        <v>38</v>
      </c>
      <c r="AR436" s="60"/>
      <c r="AS436" s="60"/>
      <c r="AT436" s="60"/>
      <c r="AU436" s="60"/>
      <c r="AV436" s="60"/>
      <c r="AW436" s="60"/>
      <c r="AX436" s="60"/>
      <c r="AY436" s="60"/>
      <c r="AZ436" s="137"/>
      <c r="BA436" s="133" t="s">
        <v>60</v>
      </c>
      <c r="BC436" s="143" t="s">
        <v>17</v>
      </c>
      <c r="BD436" s="143" t="s">
        <v>38</v>
      </c>
      <c r="BE436" s="143" t="s">
        <v>38</v>
      </c>
      <c r="BF436" s="143" t="s">
        <v>38</v>
      </c>
      <c r="BG436" s="143" t="s">
        <v>38</v>
      </c>
      <c r="BH436" s="143" t="s">
        <v>38</v>
      </c>
      <c r="BI436" s="143" t="s">
        <v>38</v>
      </c>
    </row>
    <row r="437" spans="8:61" ht="12">
      <c r="H437" s="60" t="s">
        <v>83</v>
      </c>
      <c r="I437" s="60"/>
      <c r="J437" s="60"/>
      <c r="K437" s="65">
        <v>13</v>
      </c>
      <c r="L437" s="65">
        <v>13</v>
      </c>
      <c r="M437" s="65" t="s">
        <v>17</v>
      </c>
      <c r="N437" s="65" t="s">
        <v>17</v>
      </c>
      <c r="O437" s="65"/>
      <c r="P437" s="66">
        <f t="shared" si="207"/>
        <v>13</v>
      </c>
      <c r="R437" s="25" t="s">
        <v>61</v>
      </c>
      <c r="S437" s="44">
        <f>T437-X437</f>
        <v>0.49</v>
      </c>
      <c r="T437" s="33">
        <v>1.21</v>
      </c>
      <c r="U437" s="33">
        <v>1.13</v>
      </c>
      <c r="V437" s="33">
        <v>0.76</v>
      </c>
      <c r="W437" s="33">
        <v>0.93</v>
      </c>
      <c r="X437" s="33">
        <v>0.72</v>
      </c>
      <c r="Y437" s="140">
        <f>AVERAGE(T437:X437)</f>
        <v>0.9499999999999998</v>
      </c>
      <c r="AC437" s="42"/>
      <c r="AD437" s="42"/>
      <c r="AE437" s="42"/>
      <c r="AF437" s="42"/>
      <c r="AG437" s="42"/>
      <c r="AH437" s="53"/>
      <c r="AI437" s="25"/>
      <c r="AJ437" s="25" t="s">
        <v>61</v>
      </c>
      <c r="AK437" s="44">
        <f>AL437-AP437</f>
        <v>-0.62</v>
      </c>
      <c r="AL437" s="33">
        <f aca="true" t="shared" si="208" ref="AL437:AP438">2*AC439</f>
        <v>-0.12</v>
      </c>
      <c r="AM437" s="33">
        <f t="shared" si="208"/>
        <v>0.62</v>
      </c>
      <c r="AN437" s="33">
        <f t="shared" si="208"/>
        <v>0.66</v>
      </c>
      <c r="AO437" s="33">
        <f t="shared" si="208"/>
        <v>0.56</v>
      </c>
      <c r="AP437" s="33">
        <f t="shared" si="208"/>
        <v>0.5</v>
      </c>
      <c r="AQ437" s="140">
        <f>AVERAGE(AL437:AP437)</f>
        <v>0.44400000000000006</v>
      </c>
      <c r="AR437" s="60"/>
      <c r="AS437" s="60"/>
      <c r="AT437" s="60"/>
      <c r="AU437" s="65"/>
      <c r="AV437" s="65"/>
      <c r="AW437" s="65"/>
      <c r="AX437" s="65"/>
      <c r="AY437" s="65"/>
      <c r="AZ437" s="53"/>
      <c r="BB437" s="133" t="s">
        <v>61</v>
      </c>
      <c r="BC437" s="148">
        <f>BD437-BH437</f>
        <v>2.5599999999999996</v>
      </c>
      <c r="BD437" s="149">
        <f aca="true" t="shared" si="209" ref="BD437:BH438">2*AU439</f>
        <v>3.9</v>
      </c>
      <c r="BE437" s="149">
        <f t="shared" si="209"/>
        <v>3.38</v>
      </c>
      <c r="BF437" s="149">
        <f t="shared" si="209"/>
        <v>3.14</v>
      </c>
      <c r="BG437" s="149">
        <f t="shared" si="209"/>
        <v>1.56</v>
      </c>
      <c r="BH437" s="149">
        <f t="shared" si="209"/>
        <v>1.34</v>
      </c>
      <c r="BI437" s="142">
        <f>AVERAGE(BD437:BH437)</f>
        <v>2.664</v>
      </c>
    </row>
    <row r="438" spans="8:61" ht="12">
      <c r="H438" s="60" t="s">
        <v>98</v>
      </c>
      <c r="I438" s="60"/>
      <c r="J438" s="60"/>
      <c r="K438" s="65">
        <v>1249</v>
      </c>
      <c r="L438" s="65">
        <v>654</v>
      </c>
      <c r="M438" s="65"/>
      <c r="N438" s="65"/>
      <c r="O438" s="65"/>
      <c r="P438" s="66">
        <f t="shared" si="207"/>
        <v>951.5</v>
      </c>
      <c r="R438" s="25" t="s">
        <v>62</v>
      </c>
      <c r="S438" s="44">
        <f>T438-X438</f>
        <v>0.5</v>
      </c>
      <c r="T438" s="33">
        <v>1.2</v>
      </c>
      <c r="U438" s="33">
        <v>1.12</v>
      </c>
      <c r="V438" s="33">
        <v>0.75</v>
      </c>
      <c r="W438" s="33">
        <v>0.92</v>
      </c>
      <c r="X438" s="33">
        <v>0.7</v>
      </c>
      <c r="Y438" s="140">
        <f>AVERAGE(T438:X438)</f>
        <v>0.9380000000000001</v>
      </c>
      <c r="Z438" s="25" t="s">
        <v>60</v>
      </c>
      <c r="AB438" s="28" t="s">
        <v>17</v>
      </c>
      <c r="AC438" s="28" t="s">
        <v>68</v>
      </c>
      <c r="AD438" s="28" t="s">
        <v>68</v>
      </c>
      <c r="AE438" s="28" t="s">
        <v>68</v>
      </c>
      <c r="AF438" s="28" t="s">
        <v>68</v>
      </c>
      <c r="AG438" s="28" t="s">
        <v>68</v>
      </c>
      <c r="AH438" s="138" t="s">
        <v>68</v>
      </c>
      <c r="AI438" s="25"/>
      <c r="AJ438" s="25" t="s">
        <v>62</v>
      </c>
      <c r="AK438" s="44">
        <f>AL438-AP438</f>
        <v>-0.62</v>
      </c>
      <c r="AL438" s="33">
        <f t="shared" si="208"/>
        <v>-0.12</v>
      </c>
      <c r="AM438" s="33">
        <f t="shared" si="208"/>
        <v>0.62</v>
      </c>
      <c r="AN438" s="33">
        <f t="shared" si="208"/>
        <v>0.66</v>
      </c>
      <c r="AO438" s="33">
        <f t="shared" si="208"/>
        <v>0.56</v>
      </c>
      <c r="AP438" s="33">
        <f t="shared" si="208"/>
        <v>0.5</v>
      </c>
      <c r="AQ438" s="140">
        <f>AVERAGE(AL438:AP438)</f>
        <v>0.44400000000000006</v>
      </c>
      <c r="AR438" s="60" t="s">
        <v>60</v>
      </c>
      <c r="AS438" s="60"/>
      <c r="AT438" s="62" t="s">
        <v>17</v>
      </c>
      <c r="AU438" s="62" t="s">
        <v>68</v>
      </c>
      <c r="AV438" s="62" t="s">
        <v>68</v>
      </c>
      <c r="AW438" s="62" t="s">
        <v>68</v>
      </c>
      <c r="AX438" s="62" t="s">
        <v>68</v>
      </c>
      <c r="AY438" s="62" t="s">
        <v>68</v>
      </c>
      <c r="AZ438" s="138" t="s">
        <v>68</v>
      </c>
      <c r="BB438" s="133" t="s">
        <v>62</v>
      </c>
      <c r="BC438" s="148">
        <f>BD438-BH438</f>
        <v>2.98</v>
      </c>
      <c r="BD438" s="149">
        <f t="shared" si="209"/>
        <v>3.86</v>
      </c>
      <c r="BE438" s="149">
        <f t="shared" si="209"/>
        <v>3.36</v>
      </c>
      <c r="BF438" s="149">
        <f t="shared" si="209"/>
        <v>3.12</v>
      </c>
      <c r="BG438" s="149">
        <f t="shared" si="209"/>
        <v>1</v>
      </c>
      <c r="BH438" s="149">
        <f t="shared" si="209"/>
        <v>0.88</v>
      </c>
      <c r="BI438" s="142">
        <f>AVERAGE(BD438:BH438)</f>
        <v>2.444</v>
      </c>
    </row>
    <row r="439" spans="8:61" ht="12">
      <c r="H439" s="64"/>
      <c r="I439" s="64"/>
      <c r="J439" s="64"/>
      <c r="K439" s="65"/>
      <c r="L439" s="65"/>
      <c r="M439" s="65"/>
      <c r="N439" s="65"/>
      <c r="O439" s="65"/>
      <c r="P439" s="66"/>
      <c r="AA439" s="25" t="s">
        <v>61</v>
      </c>
      <c r="AB439" s="44">
        <f>AC439-AG439</f>
        <v>-0.31</v>
      </c>
      <c r="AC439" s="25">
        <v>-0.06</v>
      </c>
      <c r="AD439" s="25">
        <v>0.31</v>
      </c>
      <c r="AE439" s="25">
        <v>0.33</v>
      </c>
      <c r="AF439" s="25">
        <v>0.28</v>
      </c>
      <c r="AG439" s="25">
        <v>0.25</v>
      </c>
      <c r="AH439" s="140">
        <f>AVERAGE(AC439:AG439)</f>
        <v>0.22200000000000003</v>
      </c>
      <c r="AI439" s="25"/>
      <c r="AJ439" s="25"/>
      <c r="AK439" s="25"/>
      <c r="AL439" s="25"/>
      <c r="AM439" s="25"/>
      <c r="AN439" s="25"/>
      <c r="AO439" s="25"/>
      <c r="AP439" s="25"/>
      <c r="AQ439" s="137"/>
      <c r="AR439" s="60"/>
      <c r="AS439" s="60" t="s">
        <v>61</v>
      </c>
      <c r="AT439" s="44">
        <f>AU439-AY439</f>
        <v>1.2799999999999998</v>
      </c>
      <c r="AU439" s="68">
        <v>1.95</v>
      </c>
      <c r="AV439" s="68">
        <v>1.69</v>
      </c>
      <c r="AW439" s="68">
        <v>1.57</v>
      </c>
      <c r="AX439" s="68">
        <v>0.78</v>
      </c>
      <c r="AY439" s="68">
        <v>0.67</v>
      </c>
      <c r="AZ439" s="142">
        <f>AVERAGE(AU439:AY439)</f>
        <v>1.332</v>
      </c>
      <c r="BI439" s="137"/>
    </row>
    <row r="440" spans="8:61" ht="12">
      <c r="H440" s="60"/>
      <c r="I440" s="60"/>
      <c r="J440" s="60"/>
      <c r="K440" s="60"/>
      <c r="L440" s="60"/>
      <c r="M440" s="60"/>
      <c r="N440" s="60"/>
      <c r="O440" s="60"/>
      <c r="P440" s="61"/>
      <c r="Q440" s="22" t="s">
        <v>77</v>
      </c>
      <c r="T440" s="28" t="s">
        <v>71</v>
      </c>
      <c r="U440" s="28" t="s">
        <v>71</v>
      </c>
      <c r="V440" s="28" t="s">
        <v>71</v>
      </c>
      <c r="W440" s="28" t="s">
        <v>71</v>
      </c>
      <c r="X440" s="28" t="s">
        <v>71</v>
      </c>
      <c r="Y440" s="138" t="s">
        <v>71</v>
      </c>
      <c r="AA440" s="25" t="s">
        <v>62</v>
      </c>
      <c r="AB440" s="44">
        <f>AC440-AG440</f>
        <v>-0.31</v>
      </c>
      <c r="AC440" s="25">
        <v>-0.06</v>
      </c>
      <c r="AD440" s="25">
        <v>0.31</v>
      </c>
      <c r="AE440" s="25">
        <v>0.33</v>
      </c>
      <c r="AF440" s="25">
        <v>0.28</v>
      </c>
      <c r="AG440" s="25">
        <v>0.25</v>
      </c>
      <c r="AH440" s="140">
        <f>AVERAGE(AC440:AG440)</f>
        <v>0.22200000000000003</v>
      </c>
      <c r="AI440" s="22" t="s">
        <v>77</v>
      </c>
      <c r="AJ440" s="25"/>
      <c r="AK440" s="25"/>
      <c r="AL440" s="28" t="s">
        <v>71</v>
      </c>
      <c r="AM440" s="28" t="s">
        <v>71</v>
      </c>
      <c r="AN440" s="28" t="s">
        <v>71</v>
      </c>
      <c r="AO440" s="28" t="s">
        <v>71</v>
      </c>
      <c r="AP440" s="28" t="s">
        <v>71</v>
      </c>
      <c r="AQ440" s="138" t="s">
        <v>71</v>
      </c>
      <c r="AR440" s="60"/>
      <c r="AS440" s="60" t="s">
        <v>62</v>
      </c>
      <c r="AT440" s="44">
        <f>AU440-AY440</f>
        <v>1.49</v>
      </c>
      <c r="AU440" s="68">
        <v>1.93</v>
      </c>
      <c r="AV440" s="68">
        <v>1.68</v>
      </c>
      <c r="AW440" s="68">
        <v>1.56</v>
      </c>
      <c r="AX440" s="68">
        <v>0.5</v>
      </c>
      <c r="AY440" s="68">
        <v>0.44</v>
      </c>
      <c r="AZ440" s="142">
        <f>AVERAGE(AU440:AY440)</f>
        <v>1.222</v>
      </c>
      <c r="BA440" s="139" t="s">
        <v>77</v>
      </c>
      <c r="BD440" s="143" t="s">
        <v>71</v>
      </c>
      <c r="BE440" s="143" t="s">
        <v>71</v>
      </c>
      <c r="BF440" s="143" t="s">
        <v>71</v>
      </c>
      <c r="BG440" s="143" t="s">
        <v>71</v>
      </c>
      <c r="BH440" s="143" t="s">
        <v>71</v>
      </c>
      <c r="BI440" s="138" t="s">
        <v>71</v>
      </c>
    </row>
    <row r="441" spans="8:61" ht="12">
      <c r="H441" s="60"/>
      <c r="I441" s="60"/>
      <c r="J441" s="60"/>
      <c r="K441" s="65"/>
      <c r="L441" s="65"/>
      <c r="M441" s="65"/>
      <c r="N441" s="65"/>
      <c r="O441" s="65"/>
      <c r="P441" s="66"/>
      <c r="T441" s="28" t="s">
        <v>38</v>
      </c>
      <c r="U441" s="28" t="s">
        <v>38</v>
      </c>
      <c r="V441" s="28" t="s">
        <v>38</v>
      </c>
      <c r="W441" s="28" t="s">
        <v>38</v>
      </c>
      <c r="X441" s="28" t="s">
        <v>38</v>
      </c>
      <c r="Y441" s="143" t="s">
        <v>38</v>
      </c>
      <c r="AH441" s="137"/>
      <c r="AI441" s="25"/>
      <c r="AJ441" s="25"/>
      <c r="AK441" s="25"/>
      <c r="AL441" s="28" t="s">
        <v>38</v>
      </c>
      <c r="AM441" s="28" t="s">
        <v>38</v>
      </c>
      <c r="AN441" s="28" t="s">
        <v>38</v>
      </c>
      <c r="AO441" s="28" t="s">
        <v>38</v>
      </c>
      <c r="AP441" s="28" t="s">
        <v>38</v>
      </c>
      <c r="AQ441" s="143" t="s">
        <v>38</v>
      </c>
      <c r="AR441" s="60"/>
      <c r="AS441" s="60"/>
      <c r="AT441" s="60"/>
      <c r="AU441" s="60"/>
      <c r="AV441" s="60"/>
      <c r="AW441" s="60"/>
      <c r="AX441" s="60"/>
      <c r="AY441" s="60"/>
      <c r="AZ441" s="137"/>
      <c r="BD441" s="143" t="s">
        <v>38</v>
      </c>
      <c r="BE441" s="143" t="s">
        <v>38</v>
      </c>
      <c r="BF441" s="143" t="s">
        <v>38</v>
      </c>
      <c r="BG441" s="143" t="s">
        <v>38</v>
      </c>
      <c r="BH441" s="143" t="s">
        <v>38</v>
      </c>
      <c r="BI441" s="143" t="s">
        <v>38</v>
      </c>
    </row>
    <row r="442" spans="8:61" ht="12">
      <c r="H442" s="60" t="s">
        <v>60</v>
      </c>
      <c r="I442" s="60"/>
      <c r="J442" s="62" t="s">
        <v>17</v>
      </c>
      <c r="K442" s="62" t="s">
        <v>68</v>
      </c>
      <c r="L442" s="62" t="s">
        <v>68</v>
      </c>
      <c r="M442" s="62" t="s">
        <v>68</v>
      </c>
      <c r="N442" s="62" t="s">
        <v>68</v>
      </c>
      <c r="O442" s="62" t="s">
        <v>68</v>
      </c>
      <c r="P442" s="63" t="s">
        <v>68</v>
      </c>
      <c r="Q442" s="25" t="s">
        <v>79</v>
      </c>
      <c r="S442" s="132">
        <f>T442-X442</f>
        <v>-105</v>
      </c>
      <c r="T442" s="42">
        <v>14404</v>
      </c>
      <c r="U442" s="42">
        <v>16605</v>
      </c>
      <c r="V442" s="42">
        <v>14626</v>
      </c>
      <c r="W442" s="42">
        <v>15797</v>
      </c>
      <c r="X442" s="42">
        <v>14509</v>
      </c>
      <c r="Y442" s="53">
        <f>AVERAGE(T442:X442)</f>
        <v>15188.2</v>
      </c>
      <c r="Z442" s="22" t="s">
        <v>77</v>
      </c>
      <c r="AC442" s="28" t="s">
        <v>71</v>
      </c>
      <c r="AD442" s="28" t="s">
        <v>71</v>
      </c>
      <c r="AE442" s="28" t="s">
        <v>71</v>
      </c>
      <c r="AF442" s="28" t="s">
        <v>71</v>
      </c>
      <c r="AG442" s="28" t="s">
        <v>71</v>
      </c>
      <c r="AH442" s="138" t="s">
        <v>71</v>
      </c>
      <c r="AI442" s="25" t="s">
        <v>79</v>
      </c>
      <c r="AJ442" s="25"/>
      <c r="AK442" s="132">
        <f>AL442-AM442</f>
        <v>-208</v>
      </c>
      <c r="AL442" s="42">
        <f aca="true" t="shared" si="210" ref="AL442:AP444">2*AC444</f>
        <v>174</v>
      </c>
      <c r="AM442" s="42">
        <f t="shared" si="210"/>
        <v>382</v>
      </c>
      <c r="AN442" s="42">
        <f t="shared" si="210"/>
        <v>0</v>
      </c>
      <c r="AO442" s="42">
        <f t="shared" si="210"/>
        <v>0</v>
      </c>
      <c r="AP442" s="42">
        <f t="shared" si="210"/>
        <v>0</v>
      </c>
      <c r="AQ442" s="53">
        <f>AVERAGE(AL442:AP442)</f>
        <v>111.2</v>
      </c>
      <c r="AR442" s="64" t="s">
        <v>77</v>
      </c>
      <c r="AS442" s="60"/>
      <c r="AT442" s="60"/>
      <c r="AU442" s="62" t="s">
        <v>71</v>
      </c>
      <c r="AV442" s="62" t="s">
        <v>71</v>
      </c>
      <c r="AW442" s="62" t="s">
        <v>71</v>
      </c>
      <c r="AX442" s="62" t="s">
        <v>71</v>
      </c>
      <c r="AY442" s="62" t="s">
        <v>71</v>
      </c>
      <c r="AZ442" s="138" t="s">
        <v>71</v>
      </c>
      <c r="BA442" s="133" t="s">
        <v>79</v>
      </c>
      <c r="BC442" s="146">
        <f>BD442-BE442</f>
        <v>26602</v>
      </c>
      <c r="BD442" s="147">
        <f aca="true" t="shared" si="211" ref="BD442:BH444">2*AU444</f>
        <v>34882</v>
      </c>
      <c r="BE442" s="147">
        <f t="shared" si="211"/>
        <v>8280</v>
      </c>
      <c r="BF442" s="147">
        <f t="shared" si="211"/>
        <v>10198</v>
      </c>
      <c r="BG442" s="147">
        <f t="shared" si="211"/>
        <v>0</v>
      </c>
      <c r="BH442" s="147">
        <f t="shared" si="211"/>
        <v>0</v>
      </c>
      <c r="BI442" s="53">
        <f>AVERAGE(BD442:BH442)</f>
        <v>10672</v>
      </c>
    </row>
    <row r="443" spans="8:61" ht="12">
      <c r="H443" s="60"/>
      <c r="I443" s="60" t="s">
        <v>61</v>
      </c>
      <c r="J443" s="60"/>
      <c r="K443" s="60">
        <v>241</v>
      </c>
      <c r="L443" s="60">
        <v>129</v>
      </c>
      <c r="M443" s="60"/>
      <c r="N443" s="60"/>
      <c r="O443" s="60"/>
      <c r="P443" s="67">
        <f>AVERAGE(K443:O443)</f>
        <v>185</v>
      </c>
      <c r="Q443" s="25" t="s">
        <v>80</v>
      </c>
      <c r="S443" s="132">
        <f>T443-X443</f>
        <v>18848</v>
      </c>
      <c r="T443" s="42">
        <v>8003</v>
      </c>
      <c r="U443" s="42">
        <v>15027</v>
      </c>
      <c r="V443" s="42">
        <v>-2745</v>
      </c>
      <c r="W443" s="42">
        <v>-7213</v>
      </c>
      <c r="X443" s="42">
        <v>-10845</v>
      </c>
      <c r="Y443" s="53">
        <f>AVERAGE(T443:X443)</f>
        <v>445.4</v>
      </c>
      <c r="AC443" s="28" t="s">
        <v>68</v>
      </c>
      <c r="AD443" s="28" t="s">
        <v>68</v>
      </c>
      <c r="AE443" s="28" t="s">
        <v>68</v>
      </c>
      <c r="AF443" s="28" t="s">
        <v>68</v>
      </c>
      <c r="AG443" s="28" t="s">
        <v>68</v>
      </c>
      <c r="AH443" s="138" t="s">
        <v>68</v>
      </c>
      <c r="AI443" s="25" t="s">
        <v>80</v>
      </c>
      <c r="AJ443" s="25"/>
      <c r="AK443" s="132">
        <f>AL443-AM443</f>
        <v>-292</v>
      </c>
      <c r="AL443" s="42">
        <f t="shared" si="210"/>
        <v>-604</v>
      </c>
      <c r="AM443" s="42">
        <f t="shared" si="210"/>
        <v>-312</v>
      </c>
      <c r="AN443" s="42">
        <f t="shared" si="210"/>
        <v>0</v>
      </c>
      <c r="AO443" s="42">
        <f t="shared" si="210"/>
        <v>0</v>
      </c>
      <c r="AP443" s="42">
        <f t="shared" si="210"/>
        <v>0</v>
      </c>
      <c r="AQ443" s="53">
        <f>AVERAGE(AL443:AP443)</f>
        <v>-183.2</v>
      </c>
      <c r="AR443" s="60"/>
      <c r="AS443" s="60"/>
      <c r="AT443" s="60"/>
      <c r="AU443" s="62" t="s">
        <v>68</v>
      </c>
      <c r="AV443" s="62" t="s">
        <v>68</v>
      </c>
      <c r="AW443" s="62" t="s">
        <v>68</v>
      </c>
      <c r="AX443" s="62" t="s">
        <v>68</v>
      </c>
      <c r="AY443" s="62" t="s">
        <v>68</v>
      </c>
      <c r="AZ443" s="138" t="s">
        <v>68</v>
      </c>
      <c r="BA443" s="133" t="s">
        <v>80</v>
      </c>
      <c r="BC443" s="146">
        <f>BD443-BE443</f>
        <v>18514</v>
      </c>
      <c r="BD443" s="147">
        <f t="shared" si="211"/>
        <v>13290</v>
      </c>
      <c r="BE443" s="147">
        <f t="shared" si="211"/>
        <v>-5224</v>
      </c>
      <c r="BF443" s="147">
        <f t="shared" si="211"/>
        <v>-18796</v>
      </c>
      <c r="BG443" s="147">
        <f t="shared" si="211"/>
        <v>0</v>
      </c>
      <c r="BH443" s="147">
        <f t="shared" si="211"/>
        <v>0</v>
      </c>
      <c r="BI443" s="53">
        <f>AVERAGE(BD443:BH443)</f>
        <v>-2146</v>
      </c>
    </row>
    <row r="444" spans="8:61" ht="12">
      <c r="H444" s="60"/>
      <c r="I444" s="60" t="s">
        <v>62</v>
      </c>
      <c r="J444" s="60"/>
      <c r="K444" s="60">
        <v>240</v>
      </c>
      <c r="L444" s="60">
        <v>126</v>
      </c>
      <c r="M444" s="60"/>
      <c r="N444" s="60"/>
      <c r="O444" s="60"/>
      <c r="P444" s="67">
        <f>AVERAGE(K444:O444)</f>
        <v>183</v>
      </c>
      <c r="Q444" s="25" t="s">
        <v>75</v>
      </c>
      <c r="S444" s="132">
        <f>T444-X444</f>
        <v>-15990</v>
      </c>
      <c r="T444" s="42">
        <v>-20562</v>
      </c>
      <c r="U444" s="42">
        <v>-41078</v>
      </c>
      <c r="V444" s="42">
        <v>-2364</v>
      </c>
      <c r="W444" s="42">
        <v>-5223</v>
      </c>
      <c r="X444" s="42">
        <v>-4572</v>
      </c>
      <c r="Y444" s="53">
        <f>AVERAGE(T444:X444)</f>
        <v>-14759.8</v>
      </c>
      <c r="Z444" s="25" t="s">
        <v>79</v>
      </c>
      <c r="AB444" s="132">
        <f>AC444-AD444</f>
        <v>-104</v>
      </c>
      <c r="AC444" s="42">
        <v>87</v>
      </c>
      <c r="AD444" s="42">
        <v>191</v>
      </c>
      <c r="AE444" s="42"/>
      <c r="AF444" s="42"/>
      <c r="AG444" s="42"/>
      <c r="AH444" s="53">
        <f>AVERAGE(AC444:AG444)</f>
        <v>139</v>
      </c>
      <c r="AI444" s="25" t="s">
        <v>75</v>
      </c>
      <c r="AJ444" s="25"/>
      <c r="AK444" s="132">
        <f>AL444-AM444</f>
        <v>-354</v>
      </c>
      <c r="AL444" s="42">
        <f t="shared" si="210"/>
        <v>2</v>
      </c>
      <c r="AM444" s="42">
        <f t="shared" si="210"/>
        <v>356</v>
      </c>
      <c r="AN444" s="42">
        <f t="shared" si="210"/>
        <v>0</v>
      </c>
      <c r="AO444" s="42">
        <f t="shared" si="210"/>
        <v>0</v>
      </c>
      <c r="AP444" s="42">
        <f t="shared" si="210"/>
        <v>0</v>
      </c>
      <c r="AQ444" s="53">
        <f>AVERAGE(AL444:AP444)</f>
        <v>71.6</v>
      </c>
      <c r="AR444" s="60" t="s">
        <v>79</v>
      </c>
      <c r="AS444" s="60"/>
      <c r="AT444" s="132">
        <f>AU444-AW444</f>
        <v>12342</v>
      </c>
      <c r="AU444" s="65">
        <v>17441</v>
      </c>
      <c r="AV444" s="65">
        <v>4140</v>
      </c>
      <c r="AW444" s="65">
        <v>5099</v>
      </c>
      <c r="AX444" s="65"/>
      <c r="AY444" s="65"/>
      <c r="AZ444" s="53">
        <f>AVERAGE(AU444:AY444)</f>
        <v>8893.333333333334</v>
      </c>
      <c r="BA444" s="133" t="s">
        <v>75</v>
      </c>
      <c r="BC444" s="146">
        <f>BD444-BE444</f>
        <v>-1626</v>
      </c>
      <c r="BD444" s="147">
        <f t="shared" si="211"/>
        <v>-3032</v>
      </c>
      <c r="BE444" s="147">
        <f t="shared" si="211"/>
        <v>-1406</v>
      </c>
      <c r="BF444" s="147">
        <f t="shared" si="211"/>
        <v>14238</v>
      </c>
      <c r="BG444" s="147">
        <f t="shared" si="211"/>
        <v>0</v>
      </c>
      <c r="BH444" s="147">
        <f t="shared" si="211"/>
        <v>0</v>
      </c>
      <c r="BI444" s="53">
        <f>AVERAGE(BD444:BH444)</f>
        <v>1960</v>
      </c>
    </row>
    <row r="445" spans="8:61" ht="12">
      <c r="H445" s="60"/>
      <c r="I445" s="60"/>
      <c r="J445" s="60"/>
      <c r="K445" s="60"/>
      <c r="L445" s="60"/>
      <c r="M445" s="60"/>
      <c r="N445" s="60"/>
      <c r="O445" s="60"/>
      <c r="P445" s="61"/>
      <c r="Q445" s="25" t="s">
        <v>64</v>
      </c>
      <c r="S445" s="132">
        <f>T445-X445</f>
        <v>3698</v>
      </c>
      <c r="T445" s="42">
        <v>6714</v>
      </c>
      <c r="U445" s="42">
        <v>4851</v>
      </c>
      <c r="V445" s="42">
        <v>15982</v>
      </c>
      <c r="W445" s="42">
        <v>6438</v>
      </c>
      <c r="X445" s="42">
        <v>3016</v>
      </c>
      <c r="Y445" s="53">
        <f>AVERAGE(T445:X445)</f>
        <v>7400.2</v>
      </c>
      <c r="Z445" s="25" t="s">
        <v>80</v>
      </c>
      <c r="AB445" s="132">
        <f>AC445-AD445</f>
        <v>-146</v>
      </c>
      <c r="AC445" s="42">
        <v>-302</v>
      </c>
      <c r="AD445" s="42">
        <v>-156</v>
      </c>
      <c r="AE445" s="42"/>
      <c r="AF445" s="42"/>
      <c r="AG445" s="42"/>
      <c r="AH445" s="53">
        <f>AVERAGE(AC445:AG445)</f>
        <v>-229</v>
      </c>
      <c r="AI445" s="25" t="s">
        <v>64</v>
      </c>
      <c r="AJ445" s="25"/>
      <c r="AK445" s="132">
        <f>AL445-AM445</f>
        <v>-452</v>
      </c>
      <c r="AL445" s="42">
        <f>2*AC448</f>
        <v>316</v>
      </c>
      <c r="AM445" s="42">
        <f>2*AD448</f>
        <v>768</v>
      </c>
      <c r="AN445" s="42">
        <f>2*AE448</f>
        <v>0</v>
      </c>
      <c r="AO445" s="42">
        <f>2*AF448</f>
        <v>0</v>
      </c>
      <c r="AP445" s="42">
        <f>2*AG448</f>
        <v>0</v>
      </c>
      <c r="AQ445" s="53">
        <f>AVERAGE(AL445:AP445)</f>
        <v>216.8</v>
      </c>
      <c r="AR445" s="60" t="s">
        <v>80</v>
      </c>
      <c r="AS445" s="60"/>
      <c r="AT445" s="132">
        <f>AU445-AW445</f>
        <v>16043</v>
      </c>
      <c r="AU445" s="65">
        <v>6645</v>
      </c>
      <c r="AV445" s="65">
        <v>-2612</v>
      </c>
      <c r="AW445" s="65">
        <v>-9398</v>
      </c>
      <c r="AX445" s="65"/>
      <c r="AY445" s="65"/>
      <c r="AZ445" s="53">
        <f>AVERAGE(AU445:AY445)</f>
        <v>-1788.3333333333333</v>
      </c>
      <c r="BA445" s="133" t="s">
        <v>64</v>
      </c>
      <c r="BC445" s="146">
        <f>BD445-BE445</f>
        <v>38204</v>
      </c>
      <c r="BD445" s="147">
        <f>2*AU448</f>
        <v>143302</v>
      </c>
      <c r="BE445" s="147">
        <f>2*AV448</f>
        <v>105098</v>
      </c>
      <c r="BF445" s="147">
        <f>2*AW448</f>
        <v>100042</v>
      </c>
      <c r="BG445" s="147">
        <f>2*AX448</f>
        <v>0</v>
      </c>
      <c r="BH445" s="147">
        <f>2*AY448</f>
        <v>0</v>
      </c>
      <c r="BI445" s="53">
        <f>AVERAGE(BD445:BH445)</f>
        <v>69688.4</v>
      </c>
    </row>
    <row r="446" spans="8:61" ht="12">
      <c r="H446" s="64" t="s">
        <v>77</v>
      </c>
      <c r="I446" s="60"/>
      <c r="J446" s="60"/>
      <c r="K446" s="62" t="s">
        <v>71</v>
      </c>
      <c r="L446" s="62" t="s">
        <v>71</v>
      </c>
      <c r="M446" s="62" t="s">
        <v>71</v>
      </c>
      <c r="N446" s="62" t="s">
        <v>71</v>
      </c>
      <c r="O446" s="62" t="s">
        <v>71</v>
      </c>
      <c r="P446" s="63" t="s">
        <v>71</v>
      </c>
      <c r="Z446" s="25" t="s">
        <v>75</v>
      </c>
      <c r="AB446" s="132">
        <f>AC446-AD446</f>
        <v>-177</v>
      </c>
      <c r="AC446" s="42">
        <v>1</v>
      </c>
      <c r="AD446" s="42">
        <v>178</v>
      </c>
      <c r="AE446" s="42"/>
      <c r="AF446" s="42"/>
      <c r="AG446" s="42"/>
      <c r="AH446" s="53">
        <f>AVERAGE(AC446:AG446)</f>
        <v>89.5</v>
      </c>
      <c r="AI446" s="25"/>
      <c r="AJ446" s="25"/>
      <c r="AK446" s="25"/>
      <c r="AL446" s="25"/>
      <c r="AM446" s="25"/>
      <c r="AN446" s="25"/>
      <c r="AO446" s="25"/>
      <c r="AP446" s="25"/>
      <c r="AQ446" s="137"/>
      <c r="AR446" s="60" t="s">
        <v>75</v>
      </c>
      <c r="AS446" s="60"/>
      <c r="AT446" s="132">
        <f>AU446-AW446</f>
        <v>-8635</v>
      </c>
      <c r="AU446" s="65">
        <v>-1516</v>
      </c>
      <c r="AV446" s="65">
        <v>-703</v>
      </c>
      <c r="AW446" s="65">
        <v>7119</v>
      </c>
      <c r="AX446" s="65"/>
      <c r="AY446" s="65"/>
      <c r="AZ446" s="53">
        <f>AVERAGE(AU446:AY446)</f>
        <v>1633.3333333333333</v>
      </c>
      <c r="BI446" s="137"/>
    </row>
    <row r="447" spans="8:61" ht="12">
      <c r="H447" s="60"/>
      <c r="I447" s="60"/>
      <c r="J447" s="60"/>
      <c r="K447" s="62" t="s">
        <v>68</v>
      </c>
      <c r="L447" s="62" t="s">
        <v>68</v>
      </c>
      <c r="M447" s="62" t="s">
        <v>68</v>
      </c>
      <c r="N447" s="62" t="s">
        <v>68</v>
      </c>
      <c r="O447" s="62" t="s">
        <v>68</v>
      </c>
      <c r="P447" s="63" t="s">
        <v>68</v>
      </c>
      <c r="Q447" s="139" t="s">
        <v>282</v>
      </c>
      <c r="R447" s="133"/>
      <c r="S447" s="133"/>
      <c r="T447" s="28" t="s">
        <v>71</v>
      </c>
      <c r="U447" s="28" t="s">
        <v>71</v>
      </c>
      <c r="V447" s="28" t="s">
        <v>71</v>
      </c>
      <c r="W447" s="28" t="s">
        <v>71</v>
      </c>
      <c r="X447" s="28" t="s">
        <v>71</v>
      </c>
      <c r="Y447" s="138" t="s">
        <v>71</v>
      </c>
      <c r="Z447" s="25" t="s">
        <v>63</v>
      </c>
      <c r="AB447" s="132">
        <f>AC447-AD447</f>
        <v>227</v>
      </c>
      <c r="AC447" s="42">
        <v>384</v>
      </c>
      <c r="AD447" s="42">
        <v>157</v>
      </c>
      <c r="AE447" s="42"/>
      <c r="AF447" s="42"/>
      <c r="AG447" s="42"/>
      <c r="AH447" s="53">
        <f>AVERAGE(AC447:AG447)</f>
        <v>270.5</v>
      </c>
      <c r="AI447" s="139" t="s">
        <v>282</v>
      </c>
      <c r="AL447" s="28" t="s">
        <v>71</v>
      </c>
      <c r="AM447" s="28" t="s">
        <v>71</v>
      </c>
      <c r="AN447" s="28" t="s">
        <v>71</v>
      </c>
      <c r="AO447" s="28" t="s">
        <v>71</v>
      </c>
      <c r="AP447" s="28" t="s">
        <v>71</v>
      </c>
      <c r="AQ447" s="138" t="s">
        <v>71</v>
      </c>
      <c r="AR447" s="60" t="s">
        <v>63</v>
      </c>
      <c r="AS447" s="60"/>
      <c r="AT447" s="132">
        <f>AU447-AW447</f>
        <v>4428</v>
      </c>
      <c r="AU447" s="65">
        <v>52549</v>
      </c>
      <c r="AV447" s="65">
        <v>50021</v>
      </c>
      <c r="AW447" s="65">
        <v>48121</v>
      </c>
      <c r="AX447" s="65"/>
      <c r="AY447" s="65"/>
      <c r="AZ447" s="53">
        <f>AVERAGE(AU447:AY447)</f>
        <v>50230.333333333336</v>
      </c>
      <c r="BA447" s="139" t="s">
        <v>282</v>
      </c>
      <c r="BD447" s="28" t="s">
        <v>71</v>
      </c>
      <c r="BE447" s="28" t="s">
        <v>71</v>
      </c>
      <c r="BF447" s="28" t="s">
        <v>71</v>
      </c>
      <c r="BG447" s="28" t="s">
        <v>71</v>
      </c>
      <c r="BH447" s="28" t="s">
        <v>71</v>
      </c>
      <c r="BI447" s="138" t="s">
        <v>71</v>
      </c>
    </row>
    <row r="448" spans="8:61" ht="12">
      <c r="H448" s="60" t="s">
        <v>79</v>
      </c>
      <c r="I448" s="60"/>
      <c r="J448" s="68"/>
      <c r="K448" s="65">
        <v>104</v>
      </c>
      <c r="L448" s="65">
        <v>126</v>
      </c>
      <c r="M448" s="65"/>
      <c r="N448" s="65"/>
      <c r="O448" s="65"/>
      <c r="P448" s="66">
        <f>AVERAGE(K448:O448)</f>
        <v>115</v>
      </c>
      <c r="Q448" s="133"/>
      <c r="R448" s="133"/>
      <c r="S448" s="133"/>
      <c r="T448" s="28" t="s">
        <v>38</v>
      </c>
      <c r="U448" s="28" t="s">
        <v>38</v>
      </c>
      <c r="V448" s="28" t="s">
        <v>38</v>
      </c>
      <c r="W448" s="28" t="s">
        <v>38</v>
      </c>
      <c r="X448" s="28" t="s">
        <v>38</v>
      </c>
      <c r="Y448" s="143" t="s">
        <v>38</v>
      </c>
      <c r="Z448" s="25" t="s">
        <v>64</v>
      </c>
      <c r="AB448" s="132">
        <f>AC448-AD448</f>
        <v>-226</v>
      </c>
      <c r="AC448" s="42">
        <v>158</v>
      </c>
      <c r="AD448" s="42">
        <v>384</v>
      </c>
      <c r="AE448" s="42"/>
      <c r="AF448" s="42"/>
      <c r="AG448" s="42"/>
      <c r="AH448" s="53">
        <f>AVERAGE(AC448:AG448)</f>
        <v>271</v>
      </c>
      <c r="AL448" s="28" t="s">
        <v>38</v>
      </c>
      <c r="AM448" s="28" t="s">
        <v>38</v>
      </c>
      <c r="AN448" s="28" t="s">
        <v>38</v>
      </c>
      <c r="AO448" s="28" t="s">
        <v>38</v>
      </c>
      <c r="AP448" s="28" t="s">
        <v>38</v>
      </c>
      <c r="AQ448" s="143" t="s">
        <v>38</v>
      </c>
      <c r="AR448" s="60" t="s">
        <v>64</v>
      </c>
      <c r="AS448" s="60"/>
      <c r="AT448" s="132">
        <f>AU448-AW448</f>
        <v>21630</v>
      </c>
      <c r="AU448" s="65">
        <v>71651</v>
      </c>
      <c r="AV448" s="65">
        <v>52549</v>
      </c>
      <c r="AW448" s="65">
        <v>50021</v>
      </c>
      <c r="AX448" s="65"/>
      <c r="AY448" s="65"/>
      <c r="AZ448" s="53">
        <f>AVERAGE(AU448:AY448)</f>
        <v>58073.666666666664</v>
      </c>
      <c r="BD448" s="28" t="s">
        <v>38</v>
      </c>
      <c r="BE448" s="28" t="s">
        <v>38</v>
      </c>
      <c r="BF448" s="28" t="s">
        <v>38</v>
      </c>
      <c r="BG448" s="28" t="s">
        <v>38</v>
      </c>
      <c r="BH448" s="28" t="s">
        <v>38</v>
      </c>
      <c r="BI448" s="143" t="s">
        <v>38</v>
      </c>
    </row>
    <row r="449" spans="8:61" ht="12">
      <c r="H449" s="60" t="s">
        <v>80</v>
      </c>
      <c r="I449" s="60"/>
      <c r="J449" s="68"/>
      <c r="K449" s="65">
        <v>986</v>
      </c>
      <c r="L449" s="65">
        <v>-527</v>
      </c>
      <c r="M449" s="65"/>
      <c r="N449" s="65"/>
      <c r="O449" s="65"/>
      <c r="P449" s="66">
        <f>AVERAGE(K449:O449)</f>
        <v>229.5</v>
      </c>
      <c r="Q449" s="25" t="s">
        <v>283</v>
      </c>
      <c r="R449" s="22"/>
      <c r="S449" s="132">
        <f>T449-X449</f>
        <v>2736</v>
      </c>
      <c r="T449" s="42">
        <f>3866+539</f>
        <v>4405</v>
      </c>
      <c r="U449" s="42">
        <f>3309+499</f>
        <v>3808</v>
      </c>
      <c r="V449" s="42">
        <f>3115+569</f>
        <v>3684</v>
      </c>
      <c r="W449" s="42">
        <f>3128+384</f>
        <v>3512</v>
      </c>
      <c r="X449" s="42">
        <f>1426+243</f>
        <v>1669</v>
      </c>
      <c r="Y449" s="53">
        <f>AVERAGE(T449:X449)</f>
        <v>3415.6</v>
      </c>
      <c r="AH449" s="137"/>
      <c r="AI449" s="25" t="s">
        <v>283</v>
      </c>
      <c r="AJ449" s="22"/>
      <c r="AK449" s="132">
        <f>AL449-AP449</f>
        <v>210</v>
      </c>
      <c r="AL449" s="42">
        <v>526</v>
      </c>
      <c r="AM449" s="42">
        <v>346</v>
      </c>
      <c r="AN449" s="42">
        <v>272</v>
      </c>
      <c r="AO449" s="42">
        <v>308</v>
      </c>
      <c r="AP449" s="42">
        <v>316</v>
      </c>
      <c r="AQ449" s="53">
        <f>AVERAGE(AL449:AP449)</f>
        <v>353.6</v>
      </c>
      <c r="AR449" s="60"/>
      <c r="AS449" s="60"/>
      <c r="AT449" s="60"/>
      <c r="AU449" s="60"/>
      <c r="AV449" s="60"/>
      <c r="AW449" s="60"/>
      <c r="AX449" s="60"/>
      <c r="AY449" s="60"/>
      <c r="AZ449" s="137"/>
      <c r="BA449" s="25" t="s">
        <v>283</v>
      </c>
      <c r="BB449" s="22"/>
      <c r="BC449" s="132">
        <f>BD449-BH449</f>
        <v>12414</v>
      </c>
      <c r="BD449" s="42">
        <v>37808</v>
      </c>
      <c r="BE449" s="42">
        <v>39864</v>
      </c>
      <c r="BF449" s="42">
        <v>38484</v>
      </c>
      <c r="BG449" s="42">
        <v>26262</v>
      </c>
      <c r="BH449" s="42">
        <v>25394</v>
      </c>
      <c r="BI449" s="53">
        <f>AVERAGE(BD449:BH449)</f>
        <v>33562.4</v>
      </c>
    </row>
    <row r="450" spans="8:61" ht="12">
      <c r="H450" s="60" t="s">
        <v>75</v>
      </c>
      <c r="I450" s="60"/>
      <c r="J450" s="68"/>
      <c r="K450" s="65">
        <v>-1109</v>
      </c>
      <c r="L450" s="65">
        <v>382</v>
      </c>
      <c r="M450" s="65"/>
      <c r="N450" s="65"/>
      <c r="O450" s="65"/>
      <c r="P450" s="66">
        <f>AVERAGE(K450:O450)</f>
        <v>-363.5</v>
      </c>
      <c r="Q450" s="133" t="s">
        <v>284</v>
      </c>
      <c r="R450" s="133"/>
      <c r="S450" s="132">
        <f>T450-X450</f>
        <v>776</v>
      </c>
      <c r="T450" s="42">
        <v>3044</v>
      </c>
      <c r="U450" s="42">
        <v>2346</v>
      </c>
      <c r="V450" s="42">
        <v>2326</v>
      </c>
      <c r="W450" s="42">
        <v>2223</v>
      </c>
      <c r="X450" s="42">
        <v>2268</v>
      </c>
      <c r="Y450" s="53">
        <f>AVERAGE(T450:X450)</f>
        <v>2441.4</v>
      </c>
      <c r="AC450" s="28" t="s">
        <v>71</v>
      </c>
      <c r="AD450" s="28" t="s">
        <v>71</v>
      </c>
      <c r="AE450" s="28" t="s">
        <v>71</v>
      </c>
      <c r="AF450" s="28" t="s">
        <v>71</v>
      </c>
      <c r="AG450" s="28" t="s">
        <v>71</v>
      </c>
      <c r="AH450" s="138" t="s">
        <v>71</v>
      </c>
      <c r="AI450" s="133" t="s">
        <v>284</v>
      </c>
      <c r="AK450" s="132">
        <f>AL450-AP450</f>
        <v>-188</v>
      </c>
      <c r="AL450" s="42">
        <v>2418</v>
      </c>
      <c r="AM450" s="42">
        <v>2222</v>
      </c>
      <c r="AN450" s="42">
        <v>2124</v>
      </c>
      <c r="AO450" s="42">
        <v>2352</v>
      </c>
      <c r="AP450" s="42">
        <v>2606</v>
      </c>
      <c r="AQ450" s="53">
        <f>AVERAGE(AL450:AP450)</f>
        <v>2344.4</v>
      </c>
      <c r="AR450" s="60"/>
      <c r="AS450" s="60"/>
      <c r="AT450" s="60"/>
      <c r="AU450" s="62" t="s">
        <v>71</v>
      </c>
      <c r="AV450" s="62" t="s">
        <v>71</v>
      </c>
      <c r="AW450" s="62" t="s">
        <v>71</v>
      </c>
      <c r="AX450" s="62" t="s">
        <v>71</v>
      </c>
      <c r="AY450" s="62" t="s">
        <v>71</v>
      </c>
      <c r="AZ450" s="138" t="s">
        <v>71</v>
      </c>
      <c r="BA450" s="133" t="s">
        <v>284</v>
      </c>
      <c r="BC450" s="132">
        <f>BD450-BH450</f>
        <v>15870</v>
      </c>
      <c r="BD450" s="42">
        <v>36840</v>
      </c>
      <c r="BE450" s="42">
        <v>36106</v>
      </c>
      <c r="BF450" s="42">
        <v>32856</v>
      </c>
      <c r="BG450" s="42">
        <v>27854</v>
      </c>
      <c r="BH450" s="42">
        <v>20970</v>
      </c>
      <c r="BI450" s="53">
        <f>AVERAGE(BD450:BH450)</f>
        <v>30925.2</v>
      </c>
    </row>
    <row r="451" spans="8:61" ht="12">
      <c r="H451" s="60" t="s">
        <v>63</v>
      </c>
      <c r="I451" s="60"/>
      <c r="J451" s="68"/>
      <c r="K451" s="65">
        <v>147</v>
      </c>
      <c r="L451" s="65">
        <v>166</v>
      </c>
      <c r="M451" s="65"/>
      <c r="N451" s="65"/>
      <c r="O451" s="65"/>
      <c r="P451" s="66">
        <f>AVERAGE(K451:O451)</f>
        <v>156.5</v>
      </c>
      <c r="R451" s="22"/>
      <c r="S451" s="132"/>
      <c r="T451" s="42"/>
      <c r="U451" s="42"/>
      <c r="V451" s="42"/>
      <c r="W451" s="42"/>
      <c r="X451" s="42"/>
      <c r="Y451" s="53"/>
      <c r="Z451" s="22"/>
      <c r="AA451" s="22"/>
      <c r="AB451" s="22"/>
      <c r="AC451" s="28" t="s">
        <v>68</v>
      </c>
      <c r="AD451" s="28" t="s">
        <v>68</v>
      </c>
      <c r="AE451" s="28" t="s">
        <v>68</v>
      </c>
      <c r="AF451" s="28" t="s">
        <v>68</v>
      </c>
      <c r="AG451" s="28" t="s">
        <v>68</v>
      </c>
      <c r="AH451" s="138" t="s">
        <v>68</v>
      </c>
      <c r="AI451" s="25"/>
      <c r="AJ451" s="22"/>
      <c r="AK451" s="132"/>
      <c r="AL451" s="25"/>
      <c r="AM451" s="25"/>
      <c r="AN451" s="25"/>
      <c r="AO451" s="25"/>
      <c r="AP451" s="25"/>
      <c r="AQ451" s="53"/>
      <c r="AR451" s="64"/>
      <c r="AS451" s="64"/>
      <c r="AT451" s="64"/>
      <c r="AU451" s="62" t="s">
        <v>68</v>
      </c>
      <c r="AV451" s="62" t="s">
        <v>68</v>
      </c>
      <c r="AW451" s="62" t="s">
        <v>68</v>
      </c>
      <c r="AX451" s="62" t="s">
        <v>68</v>
      </c>
      <c r="AY451" s="62" t="s">
        <v>68</v>
      </c>
      <c r="AZ451" s="138" t="s">
        <v>68</v>
      </c>
      <c r="BA451" s="25"/>
      <c r="BB451" s="22"/>
      <c r="BC451" s="132"/>
      <c r="BF451" s="42"/>
      <c r="BG451" s="42"/>
      <c r="BH451" s="42"/>
      <c r="BI451" s="53"/>
    </row>
    <row r="452" spans="8:52" ht="12">
      <c r="H452" s="60" t="s">
        <v>64</v>
      </c>
      <c r="I452" s="60"/>
      <c r="J452" s="68"/>
      <c r="K452" s="65">
        <v>128</v>
      </c>
      <c r="L452" s="65">
        <v>147</v>
      </c>
      <c r="M452" s="65"/>
      <c r="N452" s="65"/>
      <c r="O452" s="65"/>
      <c r="P452" s="66">
        <f>AVERAGE(K452:O452)</f>
        <v>137.5</v>
      </c>
      <c r="Z452" s="22" t="s">
        <v>102</v>
      </c>
      <c r="AB452" s="132">
        <f>AC452-AG452</f>
        <v>473</v>
      </c>
      <c r="AC452" s="42">
        <f>AC424-AC425</f>
        <v>1811</v>
      </c>
      <c r="AD452" s="42">
        <f>AD424-AD425</f>
        <v>2141</v>
      </c>
      <c r="AE452" s="42">
        <f>AE424-AE425</f>
        <v>1082</v>
      </c>
      <c r="AF452" s="42">
        <f>AF424-AF425</f>
        <v>1208</v>
      </c>
      <c r="AG452" s="42">
        <f>AG424-AG425</f>
        <v>1338</v>
      </c>
      <c r="AH452" s="53">
        <f>AVERAGE(AC452:AG452)</f>
        <v>1516</v>
      </c>
      <c r="AR452" s="64" t="s">
        <v>102</v>
      </c>
      <c r="AS452" s="60"/>
      <c r="AT452" s="132">
        <f>AU452-AY452</f>
        <v>345956</v>
      </c>
      <c r="AU452" s="65">
        <f>AU424-AU425</f>
        <v>355067</v>
      </c>
      <c r="AV452" s="65">
        <f>AV424-AV425</f>
        <v>323553</v>
      </c>
      <c r="AW452" s="65">
        <f>AW424-AW425</f>
        <v>205004</v>
      </c>
      <c r="AX452" s="65">
        <f>AX424-AX425</f>
        <v>3557</v>
      </c>
      <c r="AY452" s="65">
        <f>AY424-AY425</f>
        <v>9111</v>
      </c>
      <c r="AZ452" s="53">
        <f>AVERAGE(AU452:AY452)</f>
        <v>179258.4</v>
      </c>
    </row>
    <row r="453" spans="8:61" ht="12">
      <c r="H453" s="60"/>
      <c r="I453" s="60"/>
      <c r="J453" s="60"/>
      <c r="K453" s="60"/>
      <c r="L453" s="60"/>
      <c r="M453" s="60"/>
      <c r="N453" s="60"/>
      <c r="O453" s="60"/>
      <c r="P453" s="61"/>
      <c r="Z453" s="22" t="s">
        <v>104</v>
      </c>
      <c r="AB453" s="132">
        <f>AC453-AG453</f>
        <v>-697</v>
      </c>
      <c r="AC453" s="42">
        <f>AC429-AC452</f>
        <v>1909</v>
      </c>
      <c r="AD453" s="42">
        <f>AD429-AD452</f>
        <v>1198</v>
      </c>
      <c r="AE453" s="42">
        <f>AE429-AE452</f>
        <v>2085</v>
      </c>
      <c r="AF453" s="42">
        <f>AF429-AF452</f>
        <v>1959</v>
      </c>
      <c r="AG453" s="42">
        <f>AG429-AG452</f>
        <v>2606</v>
      </c>
      <c r="AH453" s="53">
        <f>AVERAGE(AC453:AG453)</f>
        <v>1951.4</v>
      </c>
      <c r="AR453" s="64" t="s">
        <v>104</v>
      </c>
      <c r="AS453" s="60"/>
      <c r="AT453" s="132">
        <f>AU453-AY453</f>
        <v>-334769</v>
      </c>
      <c r="AU453" s="65">
        <f>AU429-AU452</f>
        <v>-327065</v>
      </c>
      <c r="AV453" s="65">
        <f>AV429-AV452</f>
        <v>-297651</v>
      </c>
      <c r="AW453" s="65">
        <f>AW429-AW452</f>
        <v>-181613</v>
      </c>
      <c r="AX453" s="65">
        <f>AX429-AX452</f>
        <v>15672</v>
      </c>
      <c r="AY453" s="65">
        <f>AY429-AY452</f>
        <v>7704</v>
      </c>
      <c r="AZ453" s="53">
        <f>AVERAGE(AU453:AY453)</f>
        <v>-156590.6</v>
      </c>
      <c r="BD453" s="143" t="s">
        <v>71</v>
      </c>
      <c r="BE453" s="143" t="s">
        <v>71</v>
      </c>
      <c r="BF453" s="143" t="s">
        <v>71</v>
      </c>
      <c r="BG453" s="143" t="s">
        <v>71</v>
      </c>
      <c r="BH453" s="143" t="s">
        <v>71</v>
      </c>
      <c r="BI453" s="138" t="s">
        <v>71</v>
      </c>
    </row>
    <row r="454" spans="8:61" ht="12">
      <c r="H454" s="60"/>
      <c r="I454" s="60"/>
      <c r="J454" s="60"/>
      <c r="K454" s="62" t="s">
        <v>71</v>
      </c>
      <c r="L454" s="62" t="s">
        <v>71</v>
      </c>
      <c r="M454" s="62" t="s">
        <v>71</v>
      </c>
      <c r="N454" s="62" t="s">
        <v>71</v>
      </c>
      <c r="O454" s="62" t="s">
        <v>71</v>
      </c>
      <c r="P454" s="63" t="s">
        <v>71</v>
      </c>
      <c r="T454" s="28" t="s">
        <v>71</v>
      </c>
      <c r="U454" s="28" t="s">
        <v>71</v>
      </c>
      <c r="V454" s="28" t="s">
        <v>71</v>
      </c>
      <c r="W454" s="28" t="s">
        <v>71</v>
      </c>
      <c r="X454" s="28" t="s">
        <v>71</v>
      </c>
      <c r="Y454" s="138" t="s">
        <v>71</v>
      </c>
      <c r="Z454" s="22"/>
      <c r="AC454" s="33"/>
      <c r="AD454" s="33"/>
      <c r="AE454" s="33"/>
      <c r="AF454" s="33"/>
      <c r="AG454" s="33"/>
      <c r="AH454" s="140"/>
      <c r="AI454" s="25"/>
      <c r="AJ454" s="25"/>
      <c r="AK454" s="25"/>
      <c r="AL454" s="28" t="s">
        <v>71</v>
      </c>
      <c r="AM454" s="28" t="s">
        <v>71</v>
      </c>
      <c r="AN454" s="28" t="s">
        <v>71</v>
      </c>
      <c r="AO454" s="28" t="s">
        <v>71</v>
      </c>
      <c r="AP454" s="28" t="s">
        <v>71</v>
      </c>
      <c r="AQ454" s="138" t="s">
        <v>71</v>
      </c>
      <c r="AR454" s="64"/>
      <c r="AS454" s="60"/>
      <c r="AT454" s="60"/>
      <c r="AU454" s="69"/>
      <c r="AV454" s="69"/>
      <c r="AW454" s="69"/>
      <c r="AX454" s="69"/>
      <c r="AY454" s="69"/>
      <c r="AZ454" s="140"/>
      <c r="BA454" s="139"/>
      <c r="BB454" s="139"/>
      <c r="BC454" s="139"/>
      <c r="BD454" s="143" t="s">
        <v>38</v>
      </c>
      <c r="BE454" s="143" t="s">
        <v>38</v>
      </c>
      <c r="BF454" s="143" t="s">
        <v>38</v>
      </c>
      <c r="BG454" s="143" t="s">
        <v>38</v>
      </c>
      <c r="BH454" s="143" t="s">
        <v>38</v>
      </c>
      <c r="BI454" s="143" t="s">
        <v>38</v>
      </c>
    </row>
    <row r="455" spans="8:61" ht="12">
      <c r="H455" s="64"/>
      <c r="I455" s="64"/>
      <c r="J455" s="64"/>
      <c r="K455" s="62" t="s">
        <v>68</v>
      </c>
      <c r="L455" s="62" t="s">
        <v>68</v>
      </c>
      <c r="M455" s="62" t="s">
        <v>68</v>
      </c>
      <c r="N455" s="62" t="s">
        <v>68</v>
      </c>
      <c r="O455" s="62" t="s">
        <v>68</v>
      </c>
      <c r="P455" s="63" t="s">
        <v>68</v>
      </c>
      <c r="Q455" s="22"/>
      <c r="R455" s="22"/>
      <c r="S455" s="22"/>
      <c r="T455" s="28" t="s">
        <v>38</v>
      </c>
      <c r="U455" s="28" t="s">
        <v>38</v>
      </c>
      <c r="V455" s="28" t="s">
        <v>38</v>
      </c>
      <c r="W455" s="28" t="s">
        <v>38</v>
      </c>
      <c r="X455" s="28" t="s">
        <v>38</v>
      </c>
      <c r="Y455" s="143" t="s">
        <v>38</v>
      </c>
      <c r="Z455" s="22"/>
      <c r="AC455" s="48" t="s">
        <v>105</v>
      </c>
      <c r="AD455" s="48" t="s">
        <v>105</v>
      </c>
      <c r="AE455" s="48" t="s">
        <v>105</v>
      </c>
      <c r="AF455" s="48" t="s">
        <v>105</v>
      </c>
      <c r="AG455" s="48" t="s">
        <v>105</v>
      </c>
      <c r="AH455" s="141" t="s">
        <v>105</v>
      </c>
      <c r="AI455" s="22"/>
      <c r="AJ455" s="22"/>
      <c r="AK455" s="22"/>
      <c r="AL455" s="28" t="s">
        <v>38</v>
      </c>
      <c r="AM455" s="28" t="s">
        <v>38</v>
      </c>
      <c r="AN455" s="28" t="s">
        <v>38</v>
      </c>
      <c r="AO455" s="28" t="s">
        <v>38</v>
      </c>
      <c r="AP455" s="28" t="s">
        <v>38</v>
      </c>
      <c r="AQ455" s="143" t="s">
        <v>38</v>
      </c>
      <c r="AR455" s="64"/>
      <c r="AS455" s="60"/>
      <c r="AT455" s="60"/>
      <c r="AU455" s="70" t="s">
        <v>105</v>
      </c>
      <c r="AV455" s="70" t="s">
        <v>105</v>
      </c>
      <c r="AW455" s="70" t="s">
        <v>105</v>
      </c>
      <c r="AX455" s="70" t="s">
        <v>105</v>
      </c>
      <c r="AY455" s="70" t="s">
        <v>105</v>
      </c>
      <c r="AZ455" s="141" t="s">
        <v>105</v>
      </c>
      <c r="BA455" s="139" t="s">
        <v>102</v>
      </c>
      <c r="BC455" s="146">
        <f>BD455-BH455</f>
        <v>691912</v>
      </c>
      <c r="BD455" s="147">
        <f>BD424-BD425</f>
        <v>710134</v>
      </c>
      <c r="BE455" s="147">
        <f>BE424-BE425</f>
        <v>647106</v>
      </c>
      <c r="BF455" s="147">
        <f>BF424-BF425</f>
        <v>410008</v>
      </c>
      <c r="BG455" s="147">
        <f>BG424-BG425</f>
        <v>7114</v>
      </c>
      <c r="BH455" s="147">
        <f>BH424-BH425</f>
        <v>18222</v>
      </c>
      <c r="BI455" s="53">
        <f>AVERAGE(BD455:BH455)</f>
        <v>358516.8</v>
      </c>
    </row>
    <row r="456" spans="8:61" ht="12">
      <c r="H456" s="64" t="s">
        <v>102</v>
      </c>
      <c r="I456" s="60"/>
      <c r="J456" s="60"/>
      <c r="K456" s="65">
        <f>K428-K429</f>
        <v>12966</v>
      </c>
      <c r="L456" s="65">
        <f>L428-L429</f>
        <v>11519</v>
      </c>
      <c r="M456" s="65">
        <f>M428-M429</f>
        <v>0</v>
      </c>
      <c r="N456" s="65">
        <f>N428-N429</f>
        <v>0</v>
      </c>
      <c r="O456" s="65">
        <f>O428-O429</f>
        <v>0</v>
      </c>
      <c r="P456" s="66">
        <f>AVERAGE(K456:O456)</f>
        <v>4897</v>
      </c>
      <c r="Q456" s="22" t="s">
        <v>102</v>
      </c>
      <c r="S456" s="132">
        <f>T456-X456</f>
        <v>-7747</v>
      </c>
      <c r="T456" s="42">
        <f>T424-T425</f>
        <v>47155</v>
      </c>
      <c r="U456" s="42">
        <f>U424-U425</f>
        <v>53938</v>
      </c>
      <c r="V456" s="42">
        <f>V424-V425</f>
        <v>77420</v>
      </c>
      <c r="W456" s="42">
        <f>W424-W425</f>
        <v>65597</v>
      </c>
      <c r="X456" s="42">
        <f>X424-X425</f>
        <v>54902</v>
      </c>
      <c r="Y456" s="53">
        <f>AVERAGE(T456:X456)</f>
        <v>59802.4</v>
      </c>
      <c r="Z456" s="22" t="s">
        <v>53</v>
      </c>
      <c r="AB456" s="44">
        <f aca="true" t="shared" si="212" ref="AB456:AB462">AC456-AG456</f>
        <v>-0.219015334787656</v>
      </c>
      <c r="AC456" s="51">
        <f>(AC426/AC452)*100</f>
        <v>110.76753175041414</v>
      </c>
      <c r="AD456" s="51">
        <f>(AD426/AD452)*100</f>
        <v>78.56141989724428</v>
      </c>
      <c r="AE456" s="51">
        <f>(AE426/AE452)*100</f>
        <v>204.89833641404806</v>
      </c>
      <c r="AF456" s="51">
        <f>(AF426/AF452)*100</f>
        <v>138.32781456953643</v>
      </c>
      <c r="AG456" s="51">
        <f>(AG426/AG452)*100</f>
        <v>110.98654708520179</v>
      </c>
      <c r="AH456" s="140">
        <f aca="true" t="shared" si="213" ref="AH456:AH462">AVERAGE(AC456:AG456)</f>
        <v>128.70832994328893</v>
      </c>
      <c r="AI456" s="22" t="s">
        <v>102</v>
      </c>
      <c r="AJ456" s="25"/>
      <c r="AK456" s="132">
        <f>AL456-AP456</f>
        <v>946</v>
      </c>
      <c r="AL456" s="42">
        <f>AL424-AL425</f>
        <v>3622</v>
      </c>
      <c r="AM456" s="42">
        <f>AM424-AM425</f>
        <v>4282</v>
      </c>
      <c r="AN456" s="42">
        <f>AN424-AN425</f>
        <v>2164</v>
      </c>
      <c r="AO456" s="42">
        <f>AO424-AO425</f>
        <v>2416</v>
      </c>
      <c r="AP456" s="42">
        <f>AP424-AP425</f>
        <v>2676</v>
      </c>
      <c r="AQ456" s="53">
        <f>AVERAGE(AL456:AP456)</f>
        <v>3032</v>
      </c>
      <c r="AR456" s="64" t="s">
        <v>53</v>
      </c>
      <c r="AS456" s="60"/>
      <c r="AT456" s="132">
        <f aca="true" t="shared" si="214" ref="AT456:AT462">AU456-AY456</f>
        <v>-4289.390549761386</v>
      </c>
      <c r="AU456" s="72">
        <f>(AU426/AU452)*100</f>
        <v>232.61581616990594</v>
      </c>
      <c r="AV456" s="72">
        <f>(AV426/AV452)*100</f>
        <v>228.48899562050113</v>
      </c>
      <c r="AW456" s="72">
        <f>(AW426/AW452)*100</f>
        <v>268.6410996858598</v>
      </c>
      <c r="AX456" s="72">
        <f>(AX426/AX452)*100</f>
        <v>12799.40961484397</v>
      </c>
      <c r="AY456" s="72">
        <f>(AY426/AY452)*100</f>
        <v>4522.006365931292</v>
      </c>
      <c r="AZ456" s="140">
        <f aca="true" t="shared" si="215" ref="AZ456:AZ462">AVERAGE(AU456:AY456)</f>
        <v>3610.232378450305</v>
      </c>
      <c r="BA456" s="139" t="s">
        <v>104</v>
      </c>
      <c r="BC456" s="148">
        <f>BD456-BH456</f>
        <v>-1.766707298404771</v>
      </c>
      <c r="BD456" s="149">
        <f>BD429/BD455</f>
        <v>0.07886398904995395</v>
      </c>
      <c r="BE456" s="149">
        <f>BE429/BE455</f>
        <v>0.08005489054343493</v>
      </c>
      <c r="BF456" s="149">
        <f>BF429/BF455</f>
        <v>0.114100212678777</v>
      </c>
      <c r="BG456" s="149">
        <f>BG429/BG455</f>
        <v>5.405960078718021</v>
      </c>
      <c r="BH456" s="149">
        <f>BH429/BH455</f>
        <v>1.845571287454725</v>
      </c>
      <c r="BI456" s="140">
        <f>AVERAGE(BD456:BH456)</f>
        <v>1.5049100916889824</v>
      </c>
    </row>
    <row r="457" spans="8:61" ht="12">
      <c r="H457" s="64" t="s">
        <v>103</v>
      </c>
      <c r="I457" s="60"/>
      <c r="J457" s="60"/>
      <c r="K457" s="65">
        <f>K433-K434</f>
        <v>1590</v>
      </c>
      <c r="L457" s="65">
        <f>L433-L434</f>
        <v>738</v>
      </c>
      <c r="M457" s="65">
        <f>M433-M434</f>
        <v>0</v>
      </c>
      <c r="N457" s="65">
        <f>N433-N434</f>
        <v>0</v>
      </c>
      <c r="O457" s="65">
        <f>O433-O434</f>
        <v>0</v>
      </c>
      <c r="P457" s="66">
        <f>AVERAGE(K457:O457)</f>
        <v>465.6</v>
      </c>
      <c r="Q457" s="22" t="s">
        <v>104</v>
      </c>
      <c r="S457" s="44">
        <f>T457-X457</f>
        <v>0.422425423754929</v>
      </c>
      <c r="T457" s="33">
        <f>T429/T456</f>
        <v>0.939073269006468</v>
      </c>
      <c r="U457" s="33">
        <f>U429/U456</f>
        <v>0.737661759798287</v>
      </c>
      <c r="V457" s="33">
        <f>V429/V456</f>
        <v>0.4757814518212348</v>
      </c>
      <c r="W457" s="33">
        <f>W429/W456</f>
        <v>0.4906779273442383</v>
      </c>
      <c r="X457" s="33">
        <f>X429/X456</f>
        <v>0.5166478452515391</v>
      </c>
      <c r="Y457" s="140">
        <f>AVERAGE(T457:X457)</f>
        <v>0.6319684506443533</v>
      </c>
      <c r="Z457" s="22" t="s">
        <v>54</v>
      </c>
      <c r="AB457" s="44">
        <f t="shared" si="212"/>
        <v>-1.335497529992943</v>
      </c>
      <c r="AC457" s="51">
        <f>AC431/AC432</f>
        <v>0.6461538461538462</v>
      </c>
      <c r="AD457" s="51">
        <f>AD431/AD432</f>
        <v>4.880952380952381</v>
      </c>
      <c r="AE457" s="51">
        <f>AE431/AE432</f>
        <v>4.293103448275862</v>
      </c>
      <c r="AF457" s="51">
        <f>AF431/AF432</f>
        <v>4.0588235294117645</v>
      </c>
      <c r="AG457" s="51">
        <f>AG431/AG432</f>
        <v>1.981651376146789</v>
      </c>
      <c r="AH457" s="140">
        <f t="shared" si="213"/>
        <v>3.172136916188129</v>
      </c>
      <c r="AI457" s="22" t="s">
        <v>104</v>
      </c>
      <c r="AJ457" s="25"/>
      <c r="AK457" s="44">
        <f>AL457-AP457</f>
        <v>-0.8935693598083132</v>
      </c>
      <c r="AL457" s="33">
        <f>AL429/AL456</f>
        <v>2.0541137493097734</v>
      </c>
      <c r="AM457" s="33">
        <f>AM429/AM456</f>
        <v>1.5595516113965437</v>
      </c>
      <c r="AN457" s="33">
        <f>AN429/AN456</f>
        <v>2.9269870609981514</v>
      </c>
      <c r="AO457" s="33">
        <f>AO429/AO456</f>
        <v>2.6216887417218544</v>
      </c>
      <c r="AP457" s="33">
        <f>AP429/AP456</f>
        <v>2.9476831091180866</v>
      </c>
      <c r="AQ457" s="140">
        <f>AVERAGE(AL457:AP457)</f>
        <v>2.4220048545088817</v>
      </c>
      <c r="AR457" s="64" t="s">
        <v>54</v>
      </c>
      <c r="AS457" s="60"/>
      <c r="AT457" s="132">
        <f t="shared" si="214"/>
        <v>0.048958265326966455</v>
      </c>
      <c r="AU457" s="72">
        <f>AU431/-AU432</f>
        <v>-11.016323633782825</v>
      </c>
      <c r="AV457" s="72">
        <f>AV431/-AV432</f>
        <v>-10.477477477477477</v>
      </c>
      <c r="AW457" s="72">
        <f>AW431/-AW432</f>
        <v>-21.254486133768353</v>
      </c>
      <c r="AX457" s="72">
        <f>AX431/-AX432</f>
        <v>-17.68043087971275</v>
      </c>
      <c r="AY457" s="72">
        <f>AY431/-AY432</f>
        <v>-11.065281899109792</v>
      </c>
      <c r="AZ457" s="140">
        <f t="shared" si="215"/>
        <v>-14.29880000477024</v>
      </c>
      <c r="BA457" s="139"/>
      <c r="BC457" s="25"/>
      <c r="BD457" s="25"/>
      <c r="BE457" s="25"/>
      <c r="BF457" s="25"/>
      <c r="BG457" s="25"/>
      <c r="BH457" s="25"/>
      <c r="BI457" s="25"/>
    </row>
    <row r="458" spans="8:61" ht="12">
      <c r="H458" s="64" t="s">
        <v>104</v>
      </c>
      <c r="I458" s="60"/>
      <c r="J458" s="60"/>
      <c r="K458" s="65">
        <f>K433-K456</f>
        <v>-10504</v>
      </c>
      <c r="L458" s="65">
        <f>L433-L456</f>
        <v>-10198</v>
      </c>
      <c r="M458" s="65">
        <f>M433-M456</f>
        <v>0</v>
      </c>
      <c r="N458" s="65">
        <f>N433-N456</f>
        <v>0</v>
      </c>
      <c r="O458" s="65">
        <f>O433-O456</f>
        <v>0</v>
      </c>
      <c r="P458" s="66">
        <f>AVERAGE(K458:O458)</f>
        <v>-4140.4</v>
      </c>
      <c r="Q458" s="22"/>
      <c r="T458" s="33"/>
      <c r="U458" s="33"/>
      <c r="V458" s="33"/>
      <c r="W458" s="33"/>
      <c r="X458" s="33"/>
      <c r="Y458" s="140"/>
      <c r="Z458" s="22" t="s">
        <v>97</v>
      </c>
      <c r="AB458" s="44">
        <f t="shared" si="212"/>
        <v>-14.05680874901909</v>
      </c>
      <c r="AC458" s="51">
        <f>(AC434/AC427)*100</f>
        <v>-0.9164969450101833</v>
      </c>
      <c r="AD458" s="51">
        <f>(AD434/AD427)*100</f>
        <v>5.628517823639775</v>
      </c>
      <c r="AE458" s="51">
        <f>(AE434/AE427)*100</f>
        <v>21.782178217821784</v>
      </c>
      <c r="AF458" s="51">
        <f>(AF434/AF427)*100</f>
        <v>16.730038022813687</v>
      </c>
      <c r="AG458" s="51">
        <f>(AG434/AG427)*100</f>
        <v>13.140311804008908</v>
      </c>
      <c r="AH458" s="140">
        <f t="shared" si="213"/>
        <v>11.272909784654795</v>
      </c>
      <c r="AI458" s="22"/>
      <c r="AJ458" s="25"/>
      <c r="AK458" s="25"/>
      <c r="AL458" s="33"/>
      <c r="AM458" s="33"/>
      <c r="AN458" s="33"/>
      <c r="AO458" s="33"/>
      <c r="AP458" s="33"/>
      <c r="AQ458" s="140"/>
      <c r="AR458" s="64" t="s">
        <v>97</v>
      </c>
      <c r="AS458" s="60"/>
      <c r="AT458" s="132">
        <f t="shared" si="214"/>
        <v>1.2264093382825028</v>
      </c>
      <c r="AU458" s="72">
        <f>(AU434/AU427)*100</f>
        <v>14.282259837326885</v>
      </c>
      <c r="AV458" s="72">
        <f>(AV434/AV427)*100</f>
        <v>14.803963349669722</v>
      </c>
      <c r="AW458" s="72">
        <f>(AW434/AW427)*100</f>
        <v>14.14284568280878</v>
      </c>
      <c r="AX458" s="72">
        <f>(AX434/AX427)*100</f>
        <v>16.043056879567843</v>
      </c>
      <c r="AY458" s="72">
        <f>(AY434/AY427)*100</f>
        <v>13.055850499044382</v>
      </c>
      <c r="AZ458" s="140">
        <f t="shared" si="215"/>
        <v>14.465595249683522</v>
      </c>
      <c r="BA458" s="139" t="s">
        <v>53</v>
      </c>
      <c r="BC458" s="148">
        <f aca="true" t="shared" si="216" ref="BC458:BC464">BD458-BH458</f>
        <v>-4289.390549761386</v>
      </c>
      <c r="BD458" s="144">
        <f>(BD426/BD455)*100</f>
        <v>232.61581616990594</v>
      </c>
      <c r="BE458" s="144">
        <f>(BE426/BE455)*100</f>
        <v>228.48899562050113</v>
      </c>
      <c r="BF458" s="144">
        <f>(BF426/BF455)*100</f>
        <v>268.6410996858598</v>
      </c>
      <c r="BG458" s="144">
        <f>(BG426/BG455)*100</f>
        <v>12799.40961484397</v>
      </c>
      <c r="BH458" s="144">
        <f>(BH426/BH455)*100</f>
        <v>4522.006365931292</v>
      </c>
      <c r="BI458" s="140">
        <f aca="true" t="shared" si="217" ref="BI458:BI464">AVERAGE(BD458:BH458)</f>
        <v>3610.232378450305</v>
      </c>
    </row>
    <row r="459" spans="8:61" ht="12">
      <c r="H459" s="64"/>
      <c r="I459" s="60"/>
      <c r="J459" s="60"/>
      <c r="K459" s="69"/>
      <c r="L459" s="69"/>
      <c r="M459" s="69"/>
      <c r="N459" s="69"/>
      <c r="O459" s="69"/>
      <c r="P459" s="67"/>
      <c r="Q459" s="22"/>
      <c r="T459" s="48" t="s">
        <v>105</v>
      </c>
      <c r="U459" s="48" t="s">
        <v>105</v>
      </c>
      <c r="V459" s="48" t="s">
        <v>105</v>
      </c>
      <c r="W459" s="48" t="s">
        <v>105</v>
      </c>
      <c r="X459" s="48" t="s">
        <v>105</v>
      </c>
      <c r="Y459" s="141" t="s">
        <v>105</v>
      </c>
      <c r="Z459" s="22" t="s">
        <v>86</v>
      </c>
      <c r="AB459" s="44">
        <f t="shared" si="212"/>
        <v>-4.34764116992737</v>
      </c>
      <c r="AC459" s="51">
        <f>(AC431/AC429)*100</f>
        <v>1.129032258064516</v>
      </c>
      <c r="AD459" s="51">
        <f>(AD431/AD429)*100</f>
        <v>6.139562743336328</v>
      </c>
      <c r="AE459" s="51">
        <f>(AE431/AE429)*100</f>
        <v>7.86233028102305</v>
      </c>
      <c r="AF459" s="51">
        <f>(AF431/AF429)*100</f>
        <v>6.536154089043259</v>
      </c>
      <c r="AG459" s="51">
        <f>(AG431/AG429)*100</f>
        <v>5.476673427991886</v>
      </c>
      <c r="AH459" s="140">
        <f t="shared" si="213"/>
        <v>5.428750559891808</v>
      </c>
      <c r="AI459" s="22"/>
      <c r="AJ459" s="25"/>
      <c r="AK459" s="25"/>
      <c r="AL459" s="48" t="s">
        <v>105</v>
      </c>
      <c r="AM459" s="48" t="s">
        <v>105</v>
      </c>
      <c r="AN459" s="48" t="s">
        <v>105</v>
      </c>
      <c r="AO459" s="48" t="s">
        <v>105</v>
      </c>
      <c r="AP459" s="48" t="s">
        <v>105</v>
      </c>
      <c r="AQ459" s="141" t="s">
        <v>105</v>
      </c>
      <c r="AR459" s="64" t="s">
        <v>86</v>
      </c>
      <c r="AS459" s="60"/>
      <c r="AT459" s="132">
        <f t="shared" si="214"/>
        <v>11.078498853242351</v>
      </c>
      <c r="AU459" s="72">
        <f>(AU431/AU429)*100</f>
        <v>55.43175487465181</v>
      </c>
      <c r="AV459" s="72">
        <f>(AV431/AV429)*100</f>
        <v>53.88000926569377</v>
      </c>
      <c r="AW459" s="72">
        <f>(AW431/AW429)*100</f>
        <v>55.70091060664358</v>
      </c>
      <c r="AX459" s="72">
        <f>(AX431/AX429)*100</f>
        <v>51.214311716677926</v>
      </c>
      <c r="AY459" s="72">
        <f>(AY431/AY429)*100</f>
        <v>44.35325602140946</v>
      </c>
      <c r="AZ459" s="140">
        <f t="shared" si="215"/>
        <v>52.11604849701531</v>
      </c>
      <c r="BA459" s="139" t="s">
        <v>54</v>
      </c>
      <c r="BC459" s="148">
        <f t="shared" si="216"/>
        <v>-0.048958265326966455</v>
      </c>
      <c r="BD459" s="144">
        <f>BD431/BD432</f>
        <v>11.016323633782825</v>
      </c>
      <c r="BE459" s="144">
        <f>BE431/BE432</f>
        <v>10.477477477477477</v>
      </c>
      <c r="BF459" s="144">
        <f>BF431/BF432</f>
        <v>21.254486133768353</v>
      </c>
      <c r="BG459" s="144">
        <f>BG431/BG432</f>
        <v>17.68043087971275</v>
      </c>
      <c r="BH459" s="144">
        <f>BH431/BH432</f>
        <v>11.065281899109792</v>
      </c>
      <c r="BI459" s="140">
        <f t="shared" si="217"/>
        <v>14.29880000477024</v>
      </c>
    </row>
    <row r="460" spans="8:61" ht="12">
      <c r="H460" s="64"/>
      <c r="I460" s="60"/>
      <c r="J460" s="60"/>
      <c r="K460" s="70" t="s">
        <v>105</v>
      </c>
      <c r="L460" s="70" t="s">
        <v>105</v>
      </c>
      <c r="M460" s="70" t="s">
        <v>105</v>
      </c>
      <c r="N460" s="70" t="s">
        <v>105</v>
      </c>
      <c r="O460" s="70" t="s">
        <v>105</v>
      </c>
      <c r="P460" s="71" t="s">
        <v>105</v>
      </c>
      <c r="Q460" s="22" t="s">
        <v>53</v>
      </c>
      <c r="S460" s="44">
        <f aca="true" t="shared" si="218" ref="S460:S466">T460-X460</f>
        <v>34.374604902759984</v>
      </c>
      <c r="T460" s="51">
        <f>(T426/T456)*100</f>
        <v>62.54479906690701</v>
      </c>
      <c r="U460" s="51">
        <f>(U426/U456)*100</f>
        <v>42.0853572620416</v>
      </c>
      <c r="V460" s="51">
        <f>(V426/V456)*100</f>
        <v>22.686644277964348</v>
      </c>
      <c r="W460" s="51">
        <f>(W426/W456)*100</f>
        <v>28.280256719057274</v>
      </c>
      <c r="X460" s="51">
        <f>(X426/X456)*100</f>
        <v>28.170194164147027</v>
      </c>
      <c r="Y460" s="140">
        <f aca="true" t="shared" si="219" ref="Y460:Y466">AVERAGE(T460:X460)</f>
        <v>36.75345029802345</v>
      </c>
      <c r="Z460" s="22" t="s">
        <v>23</v>
      </c>
      <c r="AB460" s="44">
        <f t="shared" si="212"/>
        <v>1.174348165166621</v>
      </c>
      <c r="AC460" s="51">
        <f>AC423/AC425</f>
        <v>1.2422907488986785</v>
      </c>
      <c r="AD460" s="51">
        <f>AD423/AD425</f>
        <v>2.2423664122137406</v>
      </c>
      <c r="AE460" s="51">
        <f>AE423/AE425</f>
        <v>0.02062975027144408</v>
      </c>
      <c r="AF460" s="51">
        <f>AF423/AF425</f>
        <v>0.027955271565495207</v>
      </c>
      <c r="AG460" s="51">
        <f>AG423/AG425</f>
        <v>0.06794258373205742</v>
      </c>
      <c r="AH460" s="140">
        <f t="shared" si="213"/>
        <v>0.7202369533362831</v>
      </c>
      <c r="AI460" s="22" t="s">
        <v>53</v>
      </c>
      <c r="AJ460" s="25"/>
      <c r="AK460" s="44">
        <f aca="true" t="shared" si="220" ref="AK460:AK466">AL460-AP460</f>
        <v>-0.219015334787656</v>
      </c>
      <c r="AL460" s="51">
        <f>(AL426/AL456)*100</f>
        <v>110.76753175041414</v>
      </c>
      <c r="AM460" s="51">
        <f>(AM426/AM456)*100</f>
        <v>78.56141989724428</v>
      </c>
      <c r="AN460" s="51">
        <f>(AN426/AN456)*100</f>
        <v>204.89833641404806</v>
      </c>
      <c r="AO460" s="51">
        <f>(AO426/AO456)*100</f>
        <v>138.32781456953643</v>
      </c>
      <c r="AP460" s="51">
        <f>(AP426/AP456)*100</f>
        <v>110.98654708520179</v>
      </c>
      <c r="AQ460" s="140">
        <f aca="true" t="shared" si="221" ref="AQ460:AQ466">AVERAGE(AL460:AP460)</f>
        <v>128.70832994328893</v>
      </c>
      <c r="AR460" s="64" t="s">
        <v>23</v>
      </c>
      <c r="AS460" s="60"/>
      <c r="AT460" s="132">
        <f t="shared" si="214"/>
        <v>-0.9881459820088503</v>
      </c>
      <c r="AU460" s="72">
        <f>AU423/AU425</f>
        <v>0.01185401799114967</v>
      </c>
      <c r="AV460" s="72">
        <f>AV423/AV425</f>
        <v>0.010499168273494619</v>
      </c>
      <c r="AW460" s="72">
        <f>AW423/AW425</f>
        <v>0.011205424960456048</v>
      </c>
      <c r="AX460" s="72">
        <f>AX423/AX425</f>
        <v>1</v>
      </c>
      <c r="AY460" s="72">
        <f>AY423/AY425</f>
        <v>1</v>
      </c>
      <c r="AZ460" s="140">
        <f t="shared" si="215"/>
        <v>0.40671172224502</v>
      </c>
      <c r="BA460" s="139" t="s">
        <v>97</v>
      </c>
      <c r="BC460" s="148">
        <f t="shared" si="216"/>
        <v>1.2264093382825028</v>
      </c>
      <c r="BD460" s="144">
        <f>(BD434/BD427)*100</f>
        <v>14.282259837326885</v>
      </c>
      <c r="BE460" s="144">
        <f>(BE434/BE427)*100</f>
        <v>14.803963349669722</v>
      </c>
      <c r="BF460" s="144">
        <f>(BF434/BF427)*100</f>
        <v>14.14284568280878</v>
      </c>
      <c r="BG460" s="144">
        <f>(BG434/BG427)*100</f>
        <v>16.043056879567843</v>
      </c>
      <c r="BH460" s="144">
        <f>(BH434/BH427)*100</f>
        <v>13.055850499044382</v>
      </c>
      <c r="BI460" s="140">
        <f t="shared" si="217"/>
        <v>14.465595249683522</v>
      </c>
    </row>
    <row r="461" spans="8:61" ht="12">
      <c r="H461" s="64" t="s">
        <v>53</v>
      </c>
      <c r="I461" s="60"/>
      <c r="J461" s="60"/>
      <c r="K461" s="72">
        <f>(K430/K456)*100</f>
        <v>57.812741014962214</v>
      </c>
      <c r="L461" s="72">
        <f>(L430/L456)*100</f>
        <v>65.06641201493186</v>
      </c>
      <c r="M461" s="72" t="e">
        <f>(M430/M456)*100</f>
        <v>#DIV/0!</v>
      </c>
      <c r="N461" s="72" t="e">
        <f>(N430/N456)*100</f>
        <v>#DIV/0!</v>
      </c>
      <c r="O461" s="72" t="e">
        <f>(O430/O456)*100</f>
        <v>#DIV/0!</v>
      </c>
      <c r="P461" s="67" t="e">
        <f aca="true" t="shared" si="222" ref="P461:P467">AVERAGE(K461:O461)</f>
        <v>#DIV/0!</v>
      </c>
      <c r="Q461" s="22" t="s">
        <v>54</v>
      </c>
      <c r="S461" s="44">
        <f t="shared" si="218"/>
        <v>0</v>
      </c>
      <c r="T461" s="51">
        <v>0</v>
      </c>
      <c r="U461" s="51">
        <v>0</v>
      </c>
      <c r="V461" s="51">
        <v>0</v>
      </c>
      <c r="W461" s="51">
        <v>0</v>
      </c>
      <c r="X461" s="51">
        <v>0</v>
      </c>
      <c r="Y461" s="144">
        <v>0</v>
      </c>
      <c r="Z461" s="22" t="s">
        <v>49</v>
      </c>
      <c r="AB461" s="44">
        <f t="shared" si="212"/>
        <v>-15.87260711199372</v>
      </c>
      <c r="AC461" s="51">
        <f>((AC434-AC432-AC433)/AC452)*100</f>
        <v>-10.491441192711209</v>
      </c>
      <c r="AD461" s="51">
        <f>((AD434-AD432-AD433)/AD452)*100</f>
        <v>1.120971508640822</v>
      </c>
      <c r="AE461" s="51">
        <f>((AE431-AE432-AE433)/AE452)*100</f>
        <v>10.813308687615526</v>
      </c>
      <c r="AF461" s="51">
        <f>((AF431-AF432-AF433)/AF452)*100</f>
        <v>12.334437086092716</v>
      </c>
      <c r="AG461" s="51">
        <f>((AG431-AG432-AG433)/AG452)*100</f>
        <v>5.381165919282512</v>
      </c>
      <c r="AH461" s="140">
        <f t="shared" si="213"/>
        <v>3.8316884017840733</v>
      </c>
      <c r="AI461" s="22" t="s">
        <v>54</v>
      </c>
      <c r="AJ461" s="25"/>
      <c r="AK461" s="44">
        <f t="shared" si="220"/>
        <v>-1.335497529992943</v>
      </c>
      <c r="AL461" s="51">
        <f>AL431/AL432</f>
        <v>0.6461538461538462</v>
      </c>
      <c r="AM461" s="51">
        <f>AM431/AM432</f>
        <v>4.880952380952381</v>
      </c>
      <c r="AN461" s="51">
        <f>AN431/AN432</f>
        <v>4.293103448275862</v>
      </c>
      <c r="AO461" s="51">
        <f>AO431/AO432</f>
        <v>4.0588235294117645</v>
      </c>
      <c r="AP461" s="51">
        <f>AP431/AP432</f>
        <v>1.981651376146789</v>
      </c>
      <c r="AQ461" s="140">
        <f t="shared" si="221"/>
        <v>3.172136916188129</v>
      </c>
      <c r="AR461" s="64" t="s">
        <v>49</v>
      </c>
      <c r="AS461" s="60"/>
      <c r="AT461" s="132">
        <f t="shared" si="214"/>
        <v>-61.50409630951013</v>
      </c>
      <c r="AU461" s="72">
        <f>((AU434-AU432-AU433)/AU452)*100</f>
        <v>0.8052001453246853</v>
      </c>
      <c r="AV461" s="72">
        <f>((AV434-AV432-AV433)/AV452)*100</f>
        <v>0.7154932885802325</v>
      </c>
      <c r="AW461" s="72">
        <f>((AW431-AW432-AW433)/AW452)*100</f>
        <v>5.376480458917874</v>
      </c>
      <c r="AX461" s="72">
        <f>((AX431-AX432-AX433)/AX452)*100</f>
        <v>220.32611751475963</v>
      </c>
      <c r="AY461" s="72">
        <f>((AY431-AY432-AY433)/AY452)*100</f>
        <v>62.309296454834815</v>
      </c>
      <c r="AZ461" s="140">
        <f t="shared" si="215"/>
        <v>57.90651757248345</v>
      </c>
      <c r="BA461" s="139" t="s">
        <v>86</v>
      </c>
      <c r="BC461" s="148">
        <f t="shared" si="216"/>
        <v>11.078498853242351</v>
      </c>
      <c r="BD461" s="144">
        <f>(BD431/BD429)*100</f>
        <v>55.43175487465181</v>
      </c>
      <c r="BE461" s="144">
        <f>(BE431/BE429)*100</f>
        <v>53.88000926569377</v>
      </c>
      <c r="BF461" s="144">
        <f>(BF431/BF429)*100</f>
        <v>55.70091060664358</v>
      </c>
      <c r="BG461" s="144">
        <f>(BG431/BG429)*100</f>
        <v>51.214311716677926</v>
      </c>
      <c r="BH461" s="144">
        <f>(BH431/BH429)*100</f>
        <v>44.35325602140946</v>
      </c>
      <c r="BI461" s="140">
        <f t="shared" si="217"/>
        <v>52.11604849701531</v>
      </c>
    </row>
    <row r="462" spans="8:61" ht="12">
      <c r="H462" s="64" t="s">
        <v>54</v>
      </c>
      <c r="I462" s="60"/>
      <c r="J462" s="60"/>
      <c r="K462" s="72">
        <f>K435/-K436</f>
        <v>-4.0561224489795915</v>
      </c>
      <c r="L462" s="72">
        <f>L435/-L436</f>
        <v>-2.1025641025641026</v>
      </c>
      <c r="M462" s="72" t="e">
        <f>M435/-M436</f>
        <v>#DIV/0!</v>
      </c>
      <c r="N462" s="72" t="e">
        <f>N435/-N436</f>
        <v>#DIV/0!</v>
      </c>
      <c r="O462" s="72" t="e">
        <f>O435/-O436</f>
        <v>#DIV/0!</v>
      </c>
      <c r="P462" s="67" t="e">
        <f t="shared" si="222"/>
        <v>#DIV/0!</v>
      </c>
      <c r="Q462" s="22" t="s">
        <v>97</v>
      </c>
      <c r="S462" s="44">
        <f t="shared" si="218"/>
        <v>16.411985984772286</v>
      </c>
      <c r="T462" s="51">
        <f>(T434/T427)*100</f>
        <v>31.41581887093557</v>
      </c>
      <c r="U462" s="51">
        <f>(U434/U427)*100</f>
        <v>25.468149225813157</v>
      </c>
      <c r="V462" s="51">
        <f>(V434/V427)*100</f>
        <v>10.91613765452723</v>
      </c>
      <c r="W462" s="51">
        <f>(W434/W427)*100</f>
        <v>16.376597836774827</v>
      </c>
      <c r="X462" s="51">
        <f>(X434/X427)*100</f>
        <v>15.003832886163282</v>
      </c>
      <c r="Y462" s="140">
        <f t="shared" si="219"/>
        <v>19.836107294842815</v>
      </c>
      <c r="Z462" s="22" t="s">
        <v>50</v>
      </c>
      <c r="AB462" s="44">
        <f t="shared" si="212"/>
        <v>-6.933084691051059</v>
      </c>
      <c r="AC462" s="51">
        <f>((AC434-AC432-AC433)/AC429)*100</f>
        <v>-5.10752688172043</v>
      </c>
      <c r="AD462" s="51">
        <f>((AD434-AD432-AD433)/AD429)*100</f>
        <v>0.7187780772686434</v>
      </c>
      <c r="AE462" s="51">
        <f>((AE431-AE432-AE433)/AE429)*100</f>
        <v>3.6943479633722762</v>
      </c>
      <c r="AF462" s="51">
        <f>((AF431-AF432-AF433)/AF429)*100</f>
        <v>4.704767919166404</v>
      </c>
      <c r="AG462" s="51">
        <f>((AG431-AG432-AG433)/AG429)*100</f>
        <v>1.8255578093306288</v>
      </c>
      <c r="AH462" s="140">
        <f t="shared" si="213"/>
        <v>1.1671849774835046</v>
      </c>
      <c r="AI462" s="22" t="s">
        <v>97</v>
      </c>
      <c r="AJ462" s="25"/>
      <c r="AK462" s="44">
        <f t="shared" si="220"/>
        <v>-14.05680874901909</v>
      </c>
      <c r="AL462" s="51">
        <f>(AL434/AL427)*100</f>
        <v>-0.9164969450101833</v>
      </c>
      <c r="AM462" s="51">
        <f>(AM434/AM427)*100</f>
        <v>5.628517823639775</v>
      </c>
      <c r="AN462" s="51">
        <f>(AN434/AN427)*100</f>
        <v>21.782178217821784</v>
      </c>
      <c r="AO462" s="51">
        <f>(AO434/AO427)*100</f>
        <v>16.730038022813687</v>
      </c>
      <c r="AP462" s="51">
        <f>(AP434/AP427)*100</f>
        <v>13.140311804008908</v>
      </c>
      <c r="AQ462" s="140">
        <f t="shared" si="221"/>
        <v>11.272909784654795</v>
      </c>
      <c r="AR462" s="64" t="s">
        <v>50</v>
      </c>
      <c r="AS462" s="60"/>
      <c r="AT462" s="132">
        <f t="shared" si="214"/>
        <v>-23.55153744912193</v>
      </c>
      <c r="AU462" s="72">
        <f>((AU434-AU432-AU433)/AU429)*100</f>
        <v>10.209985001071352</v>
      </c>
      <c r="AV462" s="72">
        <f>((AV434-AV432-AV433)/AV429)*100</f>
        <v>8.937533781175198</v>
      </c>
      <c r="AW462" s="72">
        <f>((AW431-AW432-AW433)/AW429)*100</f>
        <v>47.12068744388868</v>
      </c>
      <c r="AX462" s="72">
        <f>((AX431-AX432-AX433)/AX429)*100</f>
        <v>40.756149565760055</v>
      </c>
      <c r="AY462" s="72">
        <f>((AY431-AY432-AY433)/AY429)*100</f>
        <v>33.76152245019328</v>
      </c>
      <c r="AZ462" s="140">
        <f t="shared" si="215"/>
        <v>28.157175648417713</v>
      </c>
      <c r="BA462" s="139" t="s">
        <v>23</v>
      </c>
      <c r="BC462" s="148">
        <f t="shared" si="216"/>
        <v>-0.9881459820088503</v>
      </c>
      <c r="BD462" s="144">
        <f>BD423/BD425</f>
        <v>0.01185401799114967</v>
      </c>
      <c r="BE462" s="144">
        <f>BE423/BE425</f>
        <v>0.010499168273494619</v>
      </c>
      <c r="BF462" s="144">
        <f>BF423/BF425</f>
        <v>0.011205424960456048</v>
      </c>
      <c r="BG462" s="144">
        <f>BG423/BG425</f>
        <v>1</v>
      </c>
      <c r="BH462" s="144">
        <f>BH423/BH425</f>
        <v>1</v>
      </c>
      <c r="BI462" s="140">
        <f t="shared" si="217"/>
        <v>0.40671172224502</v>
      </c>
    </row>
    <row r="463" spans="8:61" ht="12">
      <c r="H463" s="64" t="s">
        <v>97</v>
      </c>
      <c r="I463" s="60"/>
      <c r="J463" s="60"/>
      <c r="K463" s="72">
        <f>(K438/K431)*100</f>
        <v>20.76130319148936</v>
      </c>
      <c r="L463" s="72">
        <f>(L438/L431)*100</f>
        <v>13.673426719632031</v>
      </c>
      <c r="M463" s="72" t="e">
        <f>(M438/M431)*100</f>
        <v>#DIV/0!</v>
      </c>
      <c r="N463" s="72" t="e">
        <f>(N438/N431)*100</f>
        <v>#DIV/0!</v>
      </c>
      <c r="O463" s="72" t="e">
        <f>(O438/O431)*100</f>
        <v>#DIV/0!</v>
      </c>
      <c r="P463" s="67" t="e">
        <f t="shared" si="222"/>
        <v>#DIV/0!</v>
      </c>
      <c r="Q463" s="22" t="s">
        <v>86</v>
      </c>
      <c r="S463" s="44">
        <f t="shared" si="218"/>
        <v>-4.790407405486938</v>
      </c>
      <c r="T463" s="51">
        <f>(T431/T429)*100</f>
        <v>37.19795853845807</v>
      </c>
      <c r="U463" s="51">
        <f>(U431/U429)*100</f>
        <v>36.59646124459636</v>
      </c>
      <c r="V463" s="51">
        <f>(V431/V429)*100</f>
        <v>24.525587077507804</v>
      </c>
      <c r="W463" s="51">
        <f>(W431/W429)*100</f>
        <v>41.0631621462081</v>
      </c>
      <c r="X463" s="51">
        <f>(X431/X429)*100</f>
        <v>41.988365943945006</v>
      </c>
      <c r="Y463" s="140">
        <f t="shared" si="219"/>
        <v>36.274306990143074</v>
      </c>
      <c r="AH463" s="137"/>
      <c r="AI463" s="22" t="s">
        <v>86</v>
      </c>
      <c r="AJ463" s="25"/>
      <c r="AK463" s="44">
        <f t="shared" si="220"/>
        <v>-4.34764116992737</v>
      </c>
      <c r="AL463" s="51">
        <f>(AL431/AL429)*100</f>
        <v>1.129032258064516</v>
      </c>
      <c r="AM463" s="51">
        <f>(AM431/AM429)*100</f>
        <v>6.139562743336328</v>
      </c>
      <c r="AN463" s="51">
        <f>(AN431/AN429)*100</f>
        <v>7.86233028102305</v>
      </c>
      <c r="AO463" s="51">
        <f>(AO431/AO429)*100</f>
        <v>6.536154089043259</v>
      </c>
      <c r="AP463" s="51">
        <f>(AP431/AP429)*100</f>
        <v>5.476673427991886</v>
      </c>
      <c r="AQ463" s="140">
        <f t="shared" si="221"/>
        <v>5.428750559891808</v>
      </c>
      <c r="AR463" s="60"/>
      <c r="AS463" s="60"/>
      <c r="AT463" s="60"/>
      <c r="AU463" s="60"/>
      <c r="AV463" s="60"/>
      <c r="AW463" s="60"/>
      <c r="AX463" s="60"/>
      <c r="AY463" s="60"/>
      <c r="AZ463" s="137"/>
      <c r="BA463" s="139" t="s">
        <v>49</v>
      </c>
      <c r="BC463" s="148">
        <f t="shared" si="216"/>
        <v>-50.43284434874244</v>
      </c>
      <c r="BD463" s="144">
        <f>((BD434+BD432+BD433)/BD455)*100</f>
        <v>2.8543908614430515</v>
      </c>
      <c r="BE463" s="144">
        <f>((BE434+BE432+BE433)/BE455)*100</f>
        <v>2.7201107701056704</v>
      </c>
      <c r="BF463" s="144">
        <f>((BF434+BF432+BF433)/BF455)*100</f>
        <v>3.558954947220542</v>
      </c>
      <c r="BG463" s="144">
        <f>((BG434+BG432+BG433)/BG455)*100</f>
        <v>170.08715209446163</v>
      </c>
      <c r="BH463" s="144">
        <f>((BH434+BH432+BH433)/BH455)*100</f>
        <v>53.28723521018549</v>
      </c>
      <c r="BI463" s="140">
        <f t="shared" si="217"/>
        <v>46.50156877668327</v>
      </c>
    </row>
    <row r="464" spans="8:61" ht="12">
      <c r="H464" s="64" t="s">
        <v>86</v>
      </c>
      <c r="I464" s="60"/>
      <c r="J464" s="60"/>
      <c r="K464" s="72">
        <f>(K435/K433)*100</f>
        <v>64.58164094232332</v>
      </c>
      <c r="L464" s="72">
        <f>(L435/L433)*100</f>
        <v>55.8667676003028</v>
      </c>
      <c r="M464" s="72" t="e">
        <f>(M435/M433)*100</f>
        <v>#DIV/0!</v>
      </c>
      <c r="N464" s="72" t="e">
        <f>(N435/N433)*100</f>
        <v>#DIV/0!</v>
      </c>
      <c r="O464" s="72" t="e">
        <f>(O435/O433)*100</f>
        <v>#DIV/0!</v>
      </c>
      <c r="P464" s="67" t="e">
        <f t="shared" si="222"/>
        <v>#DIV/0!</v>
      </c>
      <c r="Q464" s="22" t="s">
        <v>23</v>
      </c>
      <c r="S464" s="44">
        <f t="shared" si="218"/>
        <v>-1.6278243762410103</v>
      </c>
      <c r="T464" s="51">
        <f>T423/T425</f>
        <v>2.183851706621513</v>
      </c>
      <c r="U464" s="51">
        <f>U423/U425</f>
        <v>2.887776263553949</v>
      </c>
      <c r="V464" s="51">
        <f>V423/V425</f>
        <v>4.71414256129334</v>
      </c>
      <c r="W464" s="51">
        <f>W423/W425</f>
        <v>4.2201946472019465</v>
      </c>
      <c r="X464" s="51">
        <f>X423/X425</f>
        <v>3.8116760828625234</v>
      </c>
      <c r="Y464" s="140">
        <f t="shared" si="219"/>
        <v>3.5635282523066545</v>
      </c>
      <c r="AH464" s="137"/>
      <c r="AI464" s="22" t="s">
        <v>23</v>
      </c>
      <c r="AJ464" s="25"/>
      <c r="AK464" s="44">
        <f t="shared" si="220"/>
        <v>1.174348165166621</v>
      </c>
      <c r="AL464" s="51">
        <f>AL423/AL425</f>
        <v>1.2422907488986785</v>
      </c>
      <c r="AM464" s="51">
        <f>AM423/AM425</f>
        <v>2.2423664122137406</v>
      </c>
      <c r="AN464" s="51">
        <f>AN423/AN425</f>
        <v>0.02062975027144408</v>
      </c>
      <c r="AO464" s="51">
        <f>AO423/AO425</f>
        <v>0.027955271565495207</v>
      </c>
      <c r="AP464" s="51">
        <f>AP423/AP425</f>
        <v>0.06794258373205742</v>
      </c>
      <c r="AQ464" s="140">
        <f t="shared" si="221"/>
        <v>0.7202369533362831</v>
      </c>
      <c r="AZ464" s="25"/>
      <c r="BA464" s="139" t="s">
        <v>50</v>
      </c>
      <c r="BC464" s="148">
        <f t="shared" si="216"/>
        <v>7.3208132641984704</v>
      </c>
      <c r="BD464" s="144">
        <f>((BD434+BD432+BD433)/BD429)*100</f>
        <v>36.19384329690736</v>
      </c>
      <c r="BE464" s="144">
        <f>((BE434+BE432+BE433)/BE429)*100</f>
        <v>33.97807119141379</v>
      </c>
      <c r="BF464" s="144">
        <f>((BF434+BF432+BF433)/BF429)*100</f>
        <v>31.191483904065663</v>
      </c>
      <c r="BG464" s="144">
        <f>((BG434+BG432+BG433)/BG429)*100</f>
        <v>31.462894586301935</v>
      </c>
      <c r="BH464" s="144">
        <f>((BH434+BH432+BH433)/BH429)*100</f>
        <v>28.87303003270889</v>
      </c>
      <c r="BI464" s="140">
        <f t="shared" si="217"/>
        <v>32.339864602279526</v>
      </c>
    </row>
    <row r="465" spans="8:52" ht="12">
      <c r="H465" s="64" t="s">
        <v>23</v>
      </c>
      <c r="I465" s="60"/>
      <c r="J465" s="60"/>
      <c r="K465" s="72">
        <f>K427/K429</f>
        <v>0.5256410256410257</v>
      </c>
      <c r="L465" s="72">
        <f>L427/L429</f>
        <v>0.3465085638998682</v>
      </c>
      <c r="M465" s="72" t="e">
        <f>M427/M429</f>
        <v>#DIV/0!</v>
      </c>
      <c r="N465" s="72" t="e">
        <f>N427/N429</f>
        <v>#DIV/0!</v>
      </c>
      <c r="O465" s="72" t="e">
        <f>O427/O429</f>
        <v>#DIV/0!</v>
      </c>
      <c r="P465" s="67" t="e">
        <f t="shared" si="222"/>
        <v>#DIV/0!</v>
      </c>
      <c r="Q465" s="22" t="s">
        <v>49</v>
      </c>
      <c r="S465" s="44">
        <f t="shared" si="218"/>
        <v>17.757508302326613</v>
      </c>
      <c r="T465" s="51">
        <f>((T434+T432+T433)/T456)*100</f>
        <v>38.7276004665465</v>
      </c>
      <c r="U465" s="51">
        <f>((U434+U432+U433)/U456)*100</f>
        <v>30.827987689569508</v>
      </c>
      <c r="V465" s="51">
        <f>((V434+V432+V433)/V456)*100</f>
        <v>15.75303539137174</v>
      </c>
      <c r="W465" s="51">
        <f>((W434+W432+W433)/W456)*100</f>
        <v>22.44919737183103</v>
      </c>
      <c r="X465" s="51">
        <f>((X434+X432+X433)/X456)*100</f>
        <v>20.970092164219885</v>
      </c>
      <c r="Y465" s="140">
        <f t="shared" si="219"/>
        <v>25.74558261670773</v>
      </c>
      <c r="AH465" s="137"/>
      <c r="AI465" s="22" t="s">
        <v>49</v>
      </c>
      <c r="AJ465" s="25"/>
      <c r="AK465" s="44">
        <f t="shared" si="220"/>
        <v>-12.071801703425091</v>
      </c>
      <c r="AL465" s="51">
        <f>((AL434+AL432+AL433)/AL456)*100</f>
        <v>7.5096631695196026</v>
      </c>
      <c r="AM465" s="51">
        <f>((AM434+AM432+AM433)/AM456)*100</f>
        <v>12.891172349369453</v>
      </c>
      <c r="AN465" s="51">
        <f>((AN434+AN432+AN433)/AN456)*100</f>
        <v>26.432532347504623</v>
      </c>
      <c r="AO465" s="51">
        <f>((AO434+AO432+AO433)/AO456)*100</f>
        <v>15.728476821192054</v>
      </c>
      <c r="AP465" s="51">
        <f>((AP434+AP432+AP433)/AP456)*100</f>
        <v>19.581464872944693</v>
      </c>
      <c r="AQ465" s="140">
        <f t="shared" si="221"/>
        <v>16.428661912106087</v>
      </c>
      <c r="AZ465" s="25"/>
    </row>
    <row r="466" spans="8:52" ht="12">
      <c r="H466" s="64" t="s">
        <v>49</v>
      </c>
      <c r="I466" s="60"/>
      <c r="J466" s="60"/>
      <c r="K466" s="72">
        <f>((K438-K436-K437)/K456)*100</f>
        <v>6.509332099336727</v>
      </c>
      <c r="L466" s="72">
        <f>((L438-L436-L437)/L456)*100</f>
        <v>2.5175796510113724</v>
      </c>
      <c r="M466" s="72" t="e">
        <f>((M435-M436-M437)/M456)*100</f>
        <v>#VALUE!</v>
      </c>
      <c r="N466" s="72" t="e">
        <f>((N435-N436-N437)/N456)*100</f>
        <v>#VALUE!</v>
      </c>
      <c r="O466" s="72" t="e">
        <f>((O435-O436-O437)/O456)*100</f>
        <v>#DIV/0!</v>
      </c>
      <c r="P466" s="67" t="e">
        <f t="shared" si="222"/>
        <v>#VALUE!</v>
      </c>
      <c r="Q466" s="22" t="s">
        <v>50</v>
      </c>
      <c r="S466" s="44">
        <f t="shared" si="218"/>
        <v>0.6514793059908399</v>
      </c>
      <c r="T466" s="51">
        <f>((T434+T432+T433)/T429)*100</f>
        <v>41.240233051804346</v>
      </c>
      <c r="U466" s="51">
        <f>((U434+U432+U433)/U429)*100</f>
        <v>41.79149492309239</v>
      </c>
      <c r="V466" s="51">
        <f>((V434+V432+V433)/V429)*100</f>
        <v>33.109814035564</v>
      </c>
      <c r="W466" s="51">
        <f>((W434+W432+W433)/W429)*100</f>
        <v>45.75139031285923</v>
      </c>
      <c r="X466" s="51">
        <f>((X434+X432+X433)/X429)*100</f>
        <v>40.588753745813506</v>
      </c>
      <c r="Y466" s="140">
        <f t="shared" si="219"/>
        <v>40.49633721382669</v>
      </c>
      <c r="AH466" s="137"/>
      <c r="AI466" s="22" t="s">
        <v>50</v>
      </c>
      <c r="AJ466" s="25"/>
      <c r="AK466" s="44">
        <f t="shared" si="220"/>
        <v>-2.9870880499029413</v>
      </c>
      <c r="AL466" s="51">
        <f>((AL434+AL432+AL433)/AL429)*100</f>
        <v>3.655913978494624</v>
      </c>
      <c r="AM466" s="51">
        <f>((AM434+AM432+AM433)/AM429)*100</f>
        <v>8.265947888589398</v>
      </c>
      <c r="AN466" s="51">
        <f>((AN434+AN432+AN433)/AN429)*100</f>
        <v>9.03062835491001</v>
      </c>
      <c r="AO466" s="51">
        <f>((AO434+AO432+AO433)/AO429)*100</f>
        <v>5.9993684875276285</v>
      </c>
      <c r="AP466" s="51">
        <f>((AP434+AP432+AP433)/AP429)*100</f>
        <v>6.643002028397565</v>
      </c>
      <c r="AQ466" s="140">
        <f t="shared" si="221"/>
        <v>6.7189721475838455</v>
      </c>
      <c r="AZ466" s="25"/>
    </row>
    <row r="467" spans="8:52" ht="12">
      <c r="H467" s="64" t="s">
        <v>50</v>
      </c>
      <c r="I467" s="60"/>
      <c r="J467" s="60"/>
      <c r="K467" s="72">
        <f>((K438-K436-K437)/K433)*100</f>
        <v>34.28107229894395</v>
      </c>
      <c r="L467" s="72">
        <f>((L438-L436-L437)/L433)*100</f>
        <v>21.953065859197576</v>
      </c>
      <c r="M467" s="72" t="e">
        <f>((M435-M436-M437)/M433)*100</f>
        <v>#VALUE!</v>
      </c>
      <c r="N467" s="72" t="e">
        <f>((N435-N436-N437)/N433)*100</f>
        <v>#VALUE!</v>
      </c>
      <c r="O467" s="72" t="e">
        <f>((O435-O436-O437)/O433)*100</f>
        <v>#DIV/0!</v>
      </c>
      <c r="P467" s="67" t="e">
        <f t="shared" si="222"/>
        <v>#VALUE!</v>
      </c>
      <c r="AH467" s="137"/>
      <c r="AI467" s="25"/>
      <c r="AJ467" s="25"/>
      <c r="AK467" s="25"/>
      <c r="AL467" s="25"/>
      <c r="AM467" s="25"/>
      <c r="AN467" s="25"/>
      <c r="AO467" s="25"/>
      <c r="AP467" s="25"/>
      <c r="AR467" s="60"/>
      <c r="AS467" s="60"/>
      <c r="AT467" s="60"/>
      <c r="AU467" s="60"/>
      <c r="AV467" s="60"/>
      <c r="AW467" s="60"/>
      <c r="AX467" s="60"/>
      <c r="AY467" s="60"/>
      <c r="AZ467" s="137"/>
    </row>
    <row r="468" spans="8:57" ht="12">
      <c r="H468" s="60"/>
      <c r="I468" s="60"/>
      <c r="J468" s="60"/>
      <c r="K468" s="60"/>
      <c r="L468" s="60"/>
      <c r="M468" s="60"/>
      <c r="N468" s="60"/>
      <c r="O468" s="60"/>
      <c r="P468" s="61"/>
      <c r="AI468" s="25"/>
      <c r="AJ468" s="25"/>
      <c r="AK468" s="25"/>
      <c r="AL468" s="25"/>
      <c r="AM468" s="25"/>
      <c r="AN468" s="25"/>
      <c r="AO468" s="25"/>
      <c r="AP468" s="25"/>
      <c r="AR468" s="60"/>
      <c r="AS468" s="60"/>
      <c r="AT468" s="60"/>
      <c r="AU468" s="60"/>
      <c r="AV468" s="60"/>
      <c r="AW468" s="60"/>
      <c r="AX468" s="60"/>
      <c r="AY468" s="60"/>
      <c r="AZ468" s="137"/>
      <c r="BE468" s="25"/>
    </row>
    <row r="469" spans="8:61" ht="12">
      <c r="H469" s="60"/>
      <c r="I469" s="60"/>
      <c r="J469" s="60"/>
      <c r="K469" s="60"/>
      <c r="L469" s="60"/>
      <c r="M469" s="60"/>
      <c r="N469" s="60"/>
      <c r="O469" s="60"/>
      <c r="P469" s="61"/>
      <c r="AI469" s="25"/>
      <c r="AJ469" s="25"/>
      <c r="AK469" s="25"/>
      <c r="AL469" s="25"/>
      <c r="AM469" s="25"/>
      <c r="AN469" s="25"/>
      <c r="AO469" s="25"/>
      <c r="AP469" s="25"/>
      <c r="AR469" s="60"/>
      <c r="AS469" s="60"/>
      <c r="AT469" s="60"/>
      <c r="AU469" s="60"/>
      <c r="AV469" s="60"/>
      <c r="AW469" s="60"/>
      <c r="AX469" s="60"/>
      <c r="AY469" s="60"/>
      <c r="AZ469" s="137"/>
      <c r="BC469" s="136"/>
      <c r="BD469" s="136"/>
      <c r="BE469" s="136"/>
      <c r="BF469" s="136"/>
      <c r="BG469" s="136"/>
      <c r="BH469" s="136"/>
      <c r="BI469" s="136"/>
    </row>
    <row r="470" spans="8:61" ht="12">
      <c r="H470" s="60"/>
      <c r="I470" s="60"/>
      <c r="J470" s="60"/>
      <c r="K470" s="60"/>
      <c r="L470" s="60"/>
      <c r="M470" s="60"/>
      <c r="N470" s="60"/>
      <c r="O470" s="60"/>
      <c r="P470" s="61"/>
      <c r="AI470" s="25"/>
      <c r="AJ470" s="25"/>
      <c r="AK470" s="25"/>
      <c r="AL470" s="25"/>
      <c r="AM470" s="25"/>
      <c r="AN470" s="25"/>
      <c r="AO470" s="25"/>
      <c r="AP470" s="25"/>
      <c r="AR470" s="60"/>
      <c r="AS470" s="60"/>
      <c r="AT470" s="60"/>
      <c r="AU470" s="60"/>
      <c r="AV470" s="60"/>
      <c r="AW470" s="60"/>
      <c r="AX470" s="60"/>
      <c r="AY470" s="60"/>
      <c r="AZ470" s="137"/>
      <c r="BI470" s="137"/>
    </row>
    <row r="471" spans="8:61" ht="12">
      <c r="H471" s="60"/>
      <c r="I471" s="60"/>
      <c r="J471" s="60"/>
      <c r="K471" s="60"/>
      <c r="L471" s="60"/>
      <c r="M471" s="60"/>
      <c r="N471" s="60"/>
      <c r="O471" s="60"/>
      <c r="P471" s="61"/>
      <c r="U471" s="145" t="s">
        <v>228</v>
      </c>
      <c r="AI471" s="25"/>
      <c r="AJ471" s="25"/>
      <c r="AK471" s="25"/>
      <c r="AL471" s="25"/>
      <c r="AM471" s="145" t="s">
        <v>239</v>
      </c>
      <c r="AN471" s="25"/>
      <c r="AO471" s="25"/>
      <c r="AP471" s="25"/>
      <c r="AR471" s="60"/>
      <c r="AS471" s="60"/>
      <c r="AT471" s="60"/>
      <c r="AU471" s="60"/>
      <c r="AV471" s="60"/>
      <c r="AW471" s="60"/>
      <c r="AX471" s="60"/>
      <c r="AY471" s="60"/>
      <c r="BE471" s="151" t="s">
        <v>250</v>
      </c>
      <c r="BI471" s="137"/>
    </row>
    <row r="472" spans="8:61" ht="12">
      <c r="H472" s="60"/>
      <c r="I472" s="60"/>
      <c r="J472" s="60"/>
      <c r="K472" s="60"/>
      <c r="L472" s="60"/>
      <c r="M472" s="60"/>
      <c r="N472" s="60"/>
      <c r="O472" s="60"/>
      <c r="P472" s="61"/>
      <c r="Q472" s="23" t="s">
        <v>129</v>
      </c>
      <c r="R472" s="23"/>
      <c r="S472" s="23"/>
      <c r="T472" s="23"/>
      <c r="U472" s="23"/>
      <c r="V472" s="23"/>
      <c r="W472" s="23"/>
      <c r="X472" s="23"/>
      <c r="Y472" s="136"/>
      <c r="Z472" s="23" t="s">
        <v>145</v>
      </c>
      <c r="AA472" s="23"/>
      <c r="AB472" s="23"/>
      <c r="AC472" s="23"/>
      <c r="AD472" s="23"/>
      <c r="AE472" s="23"/>
      <c r="AF472" s="23"/>
      <c r="AG472" s="23"/>
      <c r="AH472" s="136"/>
      <c r="AI472" s="23" t="s">
        <v>145</v>
      </c>
      <c r="AJ472" s="23"/>
      <c r="AK472" s="23"/>
      <c r="AL472" s="23"/>
      <c r="AM472" s="23"/>
      <c r="AN472" s="23"/>
      <c r="AO472" s="23"/>
      <c r="AP472" s="23"/>
      <c r="AQ472" s="136"/>
      <c r="AR472" s="23" t="s">
        <v>165</v>
      </c>
      <c r="AS472" s="23"/>
      <c r="AT472" s="23"/>
      <c r="AU472" s="23"/>
      <c r="AV472" s="23"/>
      <c r="AW472" s="23"/>
      <c r="AX472" s="23"/>
      <c r="AY472" s="23"/>
      <c r="AZ472" s="136"/>
      <c r="BA472" s="136" t="s">
        <v>165</v>
      </c>
      <c r="BB472" s="136"/>
      <c r="BI472" s="137"/>
    </row>
    <row r="473" spans="8:61" ht="12">
      <c r="H473" s="60"/>
      <c r="I473" s="60"/>
      <c r="J473" s="60"/>
      <c r="K473" s="60"/>
      <c r="L473" s="60"/>
      <c r="M473" s="60"/>
      <c r="N473" s="60"/>
      <c r="O473" s="60"/>
      <c r="P473" s="61"/>
      <c r="AH473" s="137"/>
      <c r="AI473" s="22" t="s">
        <v>220</v>
      </c>
      <c r="AJ473" s="25"/>
      <c r="AK473" s="25"/>
      <c r="AL473" s="25"/>
      <c r="AM473" s="25"/>
      <c r="AN473" s="25"/>
      <c r="AO473" s="25"/>
      <c r="AP473" s="25"/>
      <c r="AQ473" s="137"/>
      <c r="AZ473" s="137"/>
      <c r="BA473" s="139" t="s">
        <v>220</v>
      </c>
      <c r="BI473" s="137"/>
    </row>
    <row r="474" spans="8:61" ht="12">
      <c r="H474" s="60"/>
      <c r="I474" s="60"/>
      <c r="J474" s="60"/>
      <c r="K474" s="60"/>
      <c r="L474" s="60"/>
      <c r="M474" s="60"/>
      <c r="N474" s="60"/>
      <c r="O474" s="60"/>
      <c r="P474" s="60"/>
      <c r="Q474" s="25" t="s">
        <v>22</v>
      </c>
      <c r="Z474" s="25" t="s">
        <v>22</v>
      </c>
      <c r="AH474" s="137"/>
      <c r="AI474" s="25" t="s">
        <v>22</v>
      </c>
      <c r="AJ474" s="25"/>
      <c r="AK474" s="25"/>
      <c r="AL474" s="25"/>
      <c r="AM474" s="25"/>
      <c r="AN474" s="25"/>
      <c r="AO474" s="25"/>
      <c r="AP474" s="25"/>
      <c r="AQ474" s="137"/>
      <c r="AR474" s="25" t="s">
        <v>22</v>
      </c>
      <c r="AZ474" s="137"/>
      <c r="BA474" s="133" t="s">
        <v>22</v>
      </c>
      <c r="BI474" s="137"/>
    </row>
    <row r="475" spans="8:61" ht="12">
      <c r="H475" s="60"/>
      <c r="I475" s="60"/>
      <c r="J475" s="60"/>
      <c r="K475" s="60"/>
      <c r="L475" s="60"/>
      <c r="M475" s="60"/>
      <c r="N475" s="60"/>
      <c r="O475" s="60"/>
      <c r="P475" s="60"/>
      <c r="Q475" s="25" t="s">
        <v>114</v>
      </c>
      <c r="Z475" s="25" t="s">
        <v>114</v>
      </c>
      <c r="AH475" s="137"/>
      <c r="AI475" s="25" t="s">
        <v>114</v>
      </c>
      <c r="AJ475" s="25"/>
      <c r="AK475" s="25"/>
      <c r="AL475" s="25"/>
      <c r="AM475" s="25"/>
      <c r="AN475" s="25"/>
      <c r="AO475" s="25"/>
      <c r="AP475" s="25"/>
      <c r="AQ475" s="137"/>
      <c r="AR475" s="25" t="s">
        <v>114</v>
      </c>
      <c r="AZ475" s="137"/>
      <c r="BA475" s="133" t="s">
        <v>114</v>
      </c>
      <c r="BD475" s="25"/>
      <c r="BE475" s="25"/>
      <c r="BF475" s="25"/>
      <c r="BG475" s="25"/>
      <c r="BH475" s="25"/>
      <c r="BI475" s="25"/>
    </row>
    <row r="476" spans="8:61" ht="12">
      <c r="H476" s="87" t="s">
        <v>142</v>
      </c>
      <c r="I476" s="87"/>
      <c r="J476" s="87"/>
      <c r="K476" s="87"/>
      <c r="L476" s="87"/>
      <c r="M476" s="87"/>
      <c r="N476" s="87"/>
      <c r="O476" s="87"/>
      <c r="P476" s="87"/>
      <c r="Q476" s="25" t="s">
        <v>52</v>
      </c>
      <c r="Z476" s="25" t="s">
        <v>52</v>
      </c>
      <c r="AH476" s="137"/>
      <c r="AI476" s="25" t="s">
        <v>52</v>
      </c>
      <c r="AJ476" s="25"/>
      <c r="AK476" s="25"/>
      <c r="AL476" s="25"/>
      <c r="AM476" s="25"/>
      <c r="AN476" s="25"/>
      <c r="AO476" s="25"/>
      <c r="AP476" s="25"/>
      <c r="AQ476" s="137"/>
      <c r="AR476" s="25" t="s">
        <v>52</v>
      </c>
      <c r="AZ476" s="137"/>
      <c r="BA476" s="133" t="s">
        <v>52</v>
      </c>
      <c r="BD476" s="25"/>
      <c r="BE476" s="25"/>
      <c r="BF476" s="25"/>
      <c r="BG476" s="25"/>
      <c r="BH476" s="25"/>
      <c r="BI476" s="25"/>
    </row>
    <row r="477" spans="8:61" ht="12">
      <c r="H477" s="88"/>
      <c r="I477" s="88"/>
      <c r="J477" s="88"/>
      <c r="K477" s="88"/>
      <c r="L477" s="88"/>
      <c r="M477" s="88"/>
      <c r="N477" s="88"/>
      <c r="O477" s="88"/>
      <c r="P477" s="89"/>
      <c r="AH477" s="137"/>
      <c r="AI477" s="25"/>
      <c r="AJ477" s="25"/>
      <c r="AK477" s="25"/>
      <c r="AL477" s="25"/>
      <c r="AM477" s="25"/>
      <c r="AN477" s="25"/>
      <c r="AO477" s="25"/>
      <c r="AP477" s="25"/>
      <c r="AQ477" s="137"/>
      <c r="AZ477" s="137"/>
      <c r="BD477" s="25"/>
      <c r="BE477" s="25"/>
      <c r="BF477" s="25"/>
      <c r="BG477" s="25"/>
      <c r="BH477" s="25"/>
      <c r="BI477" s="25"/>
    </row>
    <row r="478" spans="8:61" ht="12">
      <c r="H478" s="88" t="s">
        <v>22</v>
      </c>
      <c r="I478" s="88"/>
      <c r="J478" s="88"/>
      <c r="K478" s="88"/>
      <c r="L478" s="88"/>
      <c r="M478" s="88"/>
      <c r="N478" s="88"/>
      <c r="O478" s="88"/>
      <c r="P478" s="89"/>
      <c r="T478" s="28" t="s">
        <v>25</v>
      </c>
      <c r="U478" s="28" t="s">
        <v>25</v>
      </c>
      <c r="V478" s="28" t="s">
        <v>25</v>
      </c>
      <c r="W478" s="28" t="s">
        <v>25</v>
      </c>
      <c r="X478" s="28" t="s">
        <v>25</v>
      </c>
      <c r="Y478" s="138"/>
      <c r="AC478" s="28" t="s">
        <v>25</v>
      </c>
      <c r="AD478" s="28" t="s">
        <v>25</v>
      </c>
      <c r="AE478" s="28" t="s">
        <v>25</v>
      </c>
      <c r="AF478" s="28" t="s">
        <v>25</v>
      </c>
      <c r="AG478" s="28" t="s">
        <v>25</v>
      </c>
      <c r="AH478" s="138"/>
      <c r="AI478" s="25"/>
      <c r="AJ478" s="25"/>
      <c r="AK478" s="25"/>
      <c r="AL478" s="28" t="s">
        <v>25</v>
      </c>
      <c r="AM478" s="28" t="s">
        <v>25</v>
      </c>
      <c r="AN478" s="28" t="s">
        <v>25</v>
      </c>
      <c r="AO478" s="28" t="s">
        <v>25</v>
      </c>
      <c r="AP478" s="28" t="s">
        <v>25</v>
      </c>
      <c r="AQ478" s="138"/>
      <c r="AU478" s="28" t="s">
        <v>25</v>
      </c>
      <c r="AV478" s="28" t="s">
        <v>25</v>
      </c>
      <c r="AW478" s="114" t="s">
        <v>25</v>
      </c>
      <c r="AX478" s="114" t="s">
        <v>25</v>
      </c>
      <c r="AY478" s="114" t="s">
        <v>25</v>
      </c>
      <c r="AZ478" s="138"/>
      <c r="BC478" s="25"/>
      <c r="BD478" s="143" t="s">
        <v>25</v>
      </c>
      <c r="BE478" s="143" t="s">
        <v>25</v>
      </c>
      <c r="BF478" s="143" t="s">
        <v>25</v>
      </c>
      <c r="BG478" s="143" t="s">
        <v>25</v>
      </c>
      <c r="BH478" s="143" t="s">
        <v>25</v>
      </c>
      <c r="BI478" s="138"/>
    </row>
    <row r="479" spans="8:61" ht="12">
      <c r="H479" s="88" t="s">
        <v>114</v>
      </c>
      <c r="I479" s="88"/>
      <c r="J479" s="88"/>
      <c r="K479" s="88"/>
      <c r="L479" s="88"/>
      <c r="M479" s="88"/>
      <c r="N479" s="88"/>
      <c r="O479" s="88"/>
      <c r="P479" s="89"/>
      <c r="T479" s="28">
        <v>2006</v>
      </c>
      <c r="U479" s="28">
        <v>2005</v>
      </c>
      <c r="V479" s="28">
        <v>2004</v>
      </c>
      <c r="W479" s="28">
        <v>2003</v>
      </c>
      <c r="X479" s="28">
        <v>2002</v>
      </c>
      <c r="Y479" s="138" t="s">
        <v>117</v>
      </c>
      <c r="AC479" s="28">
        <v>2006</v>
      </c>
      <c r="AD479" s="28">
        <v>2005</v>
      </c>
      <c r="AE479" s="28">
        <v>2004</v>
      </c>
      <c r="AF479" s="28">
        <v>2003</v>
      </c>
      <c r="AG479" s="28">
        <v>2002</v>
      </c>
      <c r="AH479" s="138" t="s">
        <v>117</v>
      </c>
      <c r="AI479" s="25"/>
      <c r="AJ479" s="25"/>
      <c r="AK479" s="25"/>
      <c r="AL479" s="28">
        <v>2006</v>
      </c>
      <c r="AM479" s="28">
        <v>2005</v>
      </c>
      <c r="AN479" s="28">
        <v>2004</v>
      </c>
      <c r="AO479" s="28">
        <v>2003</v>
      </c>
      <c r="AP479" s="28">
        <v>2002</v>
      </c>
      <c r="AQ479" s="138" t="s">
        <v>117</v>
      </c>
      <c r="AU479" s="28">
        <v>2006</v>
      </c>
      <c r="AV479" s="28">
        <v>2005</v>
      </c>
      <c r="AW479" s="114">
        <v>2004</v>
      </c>
      <c r="AX479" s="114">
        <v>2003</v>
      </c>
      <c r="AY479" s="114">
        <v>2002</v>
      </c>
      <c r="AZ479" s="138" t="s">
        <v>117</v>
      </c>
      <c r="BC479" s="25"/>
      <c r="BD479" s="143">
        <v>2006</v>
      </c>
      <c r="BE479" s="143">
        <v>2005</v>
      </c>
      <c r="BF479" s="143">
        <v>2004</v>
      </c>
      <c r="BG479" s="143">
        <v>2003</v>
      </c>
      <c r="BH479" s="143">
        <v>2002</v>
      </c>
      <c r="BI479" s="138" t="s">
        <v>117</v>
      </c>
    </row>
    <row r="480" spans="8:61" ht="12">
      <c r="H480" s="88" t="s">
        <v>52</v>
      </c>
      <c r="I480" s="88"/>
      <c r="J480" s="88"/>
      <c r="K480" s="88"/>
      <c r="L480" s="88"/>
      <c r="M480" s="88"/>
      <c r="N480" s="88"/>
      <c r="O480" s="88"/>
      <c r="P480" s="89"/>
      <c r="T480" s="28" t="s">
        <v>71</v>
      </c>
      <c r="U480" s="28" t="s">
        <v>71</v>
      </c>
      <c r="V480" s="28" t="s">
        <v>71</v>
      </c>
      <c r="W480" s="28" t="s">
        <v>71</v>
      </c>
      <c r="X480" s="28" t="s">
        <v>71</v>
      </c>
      <c r="Y480" s="138" t="s">
        <v>71</v>
      </c>
      <c r="AB480" s="22" t="s">
        <v>219</v>
      </c>
      <c r="AC480" s="28" t="s">
        <v>71</v>
      </c>
      <c r="AD480" s="28" t="s">
        <v>71</v>
      </c>
      <c r="AE480" s="28" t="s">
        <v>71</v>
      </c>
      <c r="AF480" s="28" t="s">
        <v>71</v>
      </c>
      <c r="AG480" s="28" t="s">
        <v>71</v>
      </c>
      <c r="AH480" s="138" t="s">
        <v>71</v>
      </c>
      <c r="AI480" s="25"/>
      <c r="AJ480" s="25"/>
      <c r="AK480" s="22" t="s">
        <v>219</v>
      </c>
      <c r="AL480" s="28" t="s">
        <v>71</v>
      </c>
      <c r="AM480" s="28" t="s">
        <v>71</v>
      </c>
      <c r="AN480" s="28" t="s">
        <v>71</v>
      </c>
      <c r="AO480" s="28" t="s">
        <v>71</v>
      </c>
      <c r="AP480" s="28" t="s">
        <v>71</v>
      </c>
      <c r="AQ480" s="138" t="s">
        <v>71</v>
      </c>
      <c r="AU480" s="28" t="s">
        <v>71</v>
      </c>
      <c r="AV480" s="28" t="s">
        <v>71</v>
      </c>
      <c r="AW480" s="114" t="s">
        <v>71</v>
      </c>
      <c r="AX480" s="114" t="s">
        <v>71</v>
      </c>
      <c r="AY480" s="114" t="s">
        <v>71</v>
      </c>
      <c r="AZ480" s="138" t="s">
        <v>71</v>
      </c>
      <c r="BC480" s="25"/>
      <c r="BD480" s="143" t="s">
        <v>71</v>
      </c>
      <c r="BE480" s="143" t="s">
        <v>71</v>
      </c>
      <c r="BF480" s="143" t="s">
        <v>71</v>
      </c>
      <c r="BG480" s="143" t="s">
        <v>71</v>
      </c>
      <c r="BH480" s="143" t="s">
        <v>71</v>
      </c>
      <c r="BI480" s="138" t="s">
        <v>71</v>
      </c>
    </row>
    <row r="481" spans="8:61" ht="12">
      <c r="H481" s="88"/>
      <c r="I481" s="88"/>
      <c r="J481" s="88"/>
      <c r="K481" s="88"/>
      <c r="L481" s="88"/>
      <c r="M481" s="88"/>
      <c r="N481" s="88"/>
      <c r="O481" s="88"/>
      <c r="P481" s="89"/>
      <c r="S481" s="22" t="s">
        <v>219</v>
      </c>
      <c r="T481" s="28" t="s">
        <v>38</v>
      </c>
      <c r="U481" s="28" t="s">
        <v>38</v>
      </c>
      <c r="V481" s="28" t="s">
        <v>38</v>
      </c>
      <c r="W481" s="28" t="s">
        <v>38</v>
      </c>
      <c r="X481" s="28" t="s">
        <v>38</v>
      </c>
      <c r="Y481" s="143" t="s">
        <v>38</v>
      </c>
      <c r="AC481" s="28" t="s">
        <v>68</v>
      </c>
      <c r="AD481" s="28" t="s">
        <v>68</v>
      </c>
      <c r="AE481" s="28" t="s">
        <v>68</v>
      </c>
      <c r="AF481" s="28" t="s">
        <v>68</v>
      </c>
      <c r="AG481" s="28" t="s">
        <v>68</v>
      </c>
      <c r="AH481" s="138" t="s">
        <v>68</v>
      </c>
      <c r="AI481" s="25"/>
      <c r="AJ481" s="25"/>
      <c r="AK481" s="25"/>
      <c r="AL481" s="28" t="s">
        <v>38</v>
      </c>
      <c r="AM481" s="28" t="s">
        <v>38</v>
      </c>
      <c r="AN481" s="28" t="s">
        <v>38</v>
      </c>
      <c r="AO481" s="28" t="s">
        <v>38</v>
      </c>
      <c r="AP481" s="28" t="s">
        <v>38</v>
      </c>
      <c r="AQ481" s="143" t="s">
        <v>38</v>
      </c>
      <c r="AT481" s="22" t="s">
        <v>219</v>
      </c>
      <c r="AU481" s="28" t="s">
        <v>38</v>
      </c>
      <c r="AV481" s="28" t="s">
        <v>38</v>
      </c>
      <c r="AW481" s="114" t="s">
        <v>68</v>
      </c>
      <c r="AX481" s="114" t="s">
        <v>68</v>
      </c>
      <c r="AY481" s="114" t="s">
        <v>68</v>
      </c>
      <c r="AZ481" s="143" t="s">
        <v>38</v>
      </c>
      <c r="BC481" s="139" t="s">
        <v>219</v>
      </c>
      <c r="BD481" s="143" t="s">
        <v>38</v>
      </c>
      <c r="BE481" s="143" t="s">
        <v>38</v>
      </c>
      <c r="BF481" s="143" t="s">
        <v>38</v>
      </c>
      <c r="BG481" s="143" t="s">
        <v>38</v>
      </c>
      <c r="BH481" s="143" t="s">
        <v>38</v>
      </c>
      <c r="BI481" s="143" t="s">
        <v>38</v>
      </c>
    </row>
    <row r="482" spans="8:61" ht="12">
      <c r="H482" s="88"/>
      <c r="I482" s="88"/>
      <c r="J482" s="88"/>
      <c r="K482" s="90" t="s">
        <v>25</v>
      </c>
      <c r="L482" s="90" t="s">
        <v>25</v>
      </c>
      <c r="M482" s="90" t="s">
        <v>25</v>
      </c>
      <c r="N482" s="90" t="s">
        <v>25</v>
      </c>
      <c r="O482" s="90" t="s">
        <v>25</v>
      </c>
      <c r="P482" s="91"/>
      <c r="Q482" s="25" t="s">
        <v>26</v>
      </c>
      <c r="R482" s="22"/>
      <c r="S482" s="132">
        <f>T482-X482</f>
        <v>1483</v>
      </c>
      <c r="T482" s="42">
        <v>5385</v>
      </c>
      <c r="U482" s="42">
        <v>4480</v>
      </c>
      <c r="V482" s="42">
        <v>3606</v>
      </c>
      <c r="W482" s="42">
        <v>4550</v>
      </c>
      <c r="X482" s="42">
        <v>3902</v>
      </c>
      <c r="Y482" s="53">
        <f>AVERAGE(T482:X482)</f>
        <v>4384.6</v>
      </c>
      <c r="Z482" s="25" t="s">
        <v>26</v>
      </c>
      <c r="AA482" s="22"/>
      <c r="AB482" s="132">
        <f>AC482-AG482</f>
        <v>-2619</v>
      </c>
      <c r="AC482" s="42">
        <v>1142</v>
      </c>
      <c r="AD482" s="42">
        <v>832</v>
      </c>
      <c r="AE482" s="42">
        <v>3869</v>
      </c>
      <c r="AF482" s="42">
        <v>3246</v>
      </c>
      <c r="AG482" s="42">
        <v>3761</v>
      </c>
      <c r="AH482" s="53">
        <f>AVERAGE(AC482:AG482)</f>
        <v>2570</v>
      </c>
      <c r="AI482" s="25" t="s">
        <v>26</v>
      </c>
      <c r="AJ482" s="22"/>
      <c r="AK482" s="132">
        <f>AL482-AP482</f>
        <v>-5238</v>
      </c>
      <c r="AL482" s="42">
        <f aca="true" t="shared" si="223" ref="AL482:AP486">2*AC482</f>
        <v>2284</v>
      </c>
      <c r="AM482" s="42">
        <f t="shared" si="223"/>
        <v>1664</v>
      </c>
      <c r="AN482" s="42">
        <f t="shared" si="223"/>
        <v>7738</v>
      </c>
      <c r="AO482" s="42">
        <f t="shared" si="223"/>
        <v>6492</v>
      </c>
      <c r="AP482" s="42">
        <f t="shared" si="223"/>
        <v>7522</v>
      </c>
      <c r="AQ482" s="53">
        <f>AVERAGE(AL482:AP482)</f>
        <v>5140</v>
      </c>
      <c r="AR482" s="25" t="s">
        <v>26</v>
      </c>
      <c r="AS482" s="22"/>
      <c r="AT482" s="132">
        <f>AU482-AY482</f>
        <v>1112</v>
      </c>
      <c r="AU482" s="42">
        <v>1645</v>
      </c>
      <c r="AV482" s="42">
        <v>1338</v>
      </c>
      <c r="AW482" s="115">
        <v>638</v>
      </c>
      <c r="AX482" s="115">
        <v>557</v>
      </c>
      <c r="AY482" s="115">
        <v>533</v>
      </c>
      <c r="AZ482" s="53">
        <f>AVERAGE(AU482:AY482)</f>
        <v>942.2</v>
      </c>
      <c r="BA482" s="133" t="s">
        <v>26</v>
      </c>
      <c r="BB482" s="139"/>
      <c r="BC482" s="146">
        <f>BD482-BH482</f>
        <v>579</v>
      </c>
      <c r="BD482" s="147">
        <v>1645</v>
      </c>
      <c r="BE482" s="147">
        <v>1338</v>
      </c>
      <c r="BF482" s="147">
        <f aca="true" t="shared" si="224" ref="BF482:BH486">2*AW482</f>
        <v>1276</v>
      </c>
      <c r="BG482" s="147">
        <f t="shared" si="224"/>
        <v>1114</v>
      </c>
      <c r="BH482" s="147">
        <f t="shared" si="224"/>
        <v>1066</v>
      </c>
      <c r="BI482" s="53">
        <f>AVERAGE(BD482:BH482)</f>
        <v>1287.8</v>
      </c>
    </row>
    <row r="483" spans="8:61" ht="12">
      <c r="H483" s="88"/>
      <c r="I483" s="88"/>
      <c r="J483" s="88"/>
      <c r="K483" s="90">
        <v>2006</v>
      </c>
      <c r="L483" s="90">
        <v>2005</v>
      </c>
      <c r="M483" s="90">
        <v>2004</v>
      </c>
      <c r="N483" s="90">
        <v>2003</v>
      </c>
      <c r="O483" s="90">
        <v>2002</v>
      </c>
      <c r="P483" s="91" t="s">
        <v>117</v>
      </c>
      <c r="Q483" s="25" t="s">
        <v>93</v>
      </c>
      <c r="S483" s="132">
        <f>T483-X483</f>
        <v>-5098</v>
      </c>
      <c r="T483" s="42">
        <v>19622</v>
      </c>
      <c r="U483" s="42">
        <v>20039</v>
      </c>
      <c r="V483" s="42">
        <v>21801</v>
      </c>
      <c r="W483" s="42">
        <v>25939</v>
      </c>
      <c r="X483" s="42">
        <v>24720</v>
      </c>
      <c r="Y483" s="53">
        <f>AVERAGE(T483:X483)</f>
        <v>22424.2</v>
      </c>
      <c r="Z483" s="25" t="s">
        <v>93</v>
      </c>
      <c r="AB483" s="132">
        <f>AC483-AG483</f>
        <v>-1982</v>
      </c>
      <c r="AC483" s="42">
        <v>5211</v>
      </c>
      <c r="AD483" s="42">
        <v>4867</v>
      </c>
      <c r="AE483" s="42">
        <f>3507+AE482</f>
        <v>7376</v>
      </c>
      <c r="AF483" s="42">
        <f>3465+AF482</f>
        <v>6711</v>
      </c>
      <c r="AG483" s="42">
        <f>3432+AG482</f>
        <v>7193</v>
      </c>
      <c r="AH483" s="53">
        <f>AVERAGE(AC483:AG483)</f>
        <v>6271.6</v>
      </c>
      <c r="AI483" s="25" t="s">
        <v>93</v>
      </c>
      <c r="AJ483" s="25"/>
      <c r="AK483" s="132">
        <f>AL483-AP483</f>
        <v>-3964</v>
      </c>
      <c r="AL483" s="42">
        <f t="shared" si="223"/>
        <v>10422</v>
      </c>
      <c r="AM483" s="42">
        <f t="shared" si="223"/>
        <v>9734</v>
      </c>
      <c r="AN483" s="42">
        <f t="shared" si="223"/>
        <v>14752</v>
      </c>
      <c r="AO483" s="42">
        <f t="shared" si="223"/>
        <v>13422</v>
      </c>
      <c r="AP483" s="42">
        <f t="shared" si="223"/>
        <v>14386</v>
      </c>
      <c r="AQ483" s="53">
        <f>AVERAGE(AL483:AP483)</f>
        <v>12543.2</v>
      </c>
      <c r="AR483" s="25" t="s">
        <v>93</v>
      </c>
      <c r="AT483" s="132">
        <f>AU483-AY483</f>
        <v>1996</v>
      </c>
      <c r="AU483" s="42">
        <v>3231</v>
      </c>
      <c r="AV483" s="42">
        <v>2976</v>
      </c>
      <c r="AW483" s="115">
        <v>1522</v>
      </c>
      <c r="AX483" s="115">
        <v>1302</v>
      </c>
      <c r="AY483" s="115">
        <f>702+AY482</f>
        <v>1235</v>
      </c>
      <c r="AZ483" s="53">
        <f>AVERAGE(AU483:AY483)</f>
        <v>2053.2</v>
      </c>
      <c r="BA483" s="133" t="s">
        <v>93</v>
      </c>
      <c r="BC483" s="146">
        <f>BD483-BH483</f>
        <v>761</v>
      </c>
      <c r="BD483" s="147">
        <v>3231</v>
      </c>
      <c r="BE483" s="147">
        <v>2976</v>
      </c>
      <c r="BF483" s="147">
        <f t="shared" si="224"/>
        <v>3044</v>
      </c>
      <c r="BG483" s="147">
        <f t="shared" si="224"/>
        <v>2604</v>
      </c>
      <c r="BH483" s="147">
        <f t="shared" si="224"/>
        <v>2470</v>
      </c>
      <c r="BI483" s="53">
        <f>AVERAGE(BD483:BH483)</f>
        <v>2865</v>
      </c>
    </row>
    <row r="484" spans="8:61" ht="12">
      <c r="H484" s="88"/>
      <c r="I484" s="88"/>
      <c r="J484" s="88"/>
      <c r="K484" s="90" t="s">
        <v>71</v>
      </c>
      <c r="L484" s="90" t="s">
        <v>71</v>
      </c>
      <c r="M484" s="90" t="s">
        <v>71</v>
      </c>
      <c r="N484" s="90" t="s">
        <v>71</v>
      </c>
      <c r="O484" s="90" t="s">
        <v>71</v>
      </c>
      <c r="P484" s="91" t="s">
        <v>71</v>
      </c>
      <c r="Q484" s="25" t="s">
        <v>72</v>
      </c>
      <c r="S484" s="132">
        <f>T484-X484</f>
        <v>-686</v>
      </c>
      <c r="T484" s="42">
        <v>5769</v>
      </c>
      <c r="U484" s="42">
        <v>5265</v>
      </c>
      <c r="V484" s="42">
        <v>5941</v>
      </c>
      <c r="W484" s="42">
        <v>6157</v>
      </c>
      <c r="X484" s="42">
        <v>6455</v>
      </c>
      <c r="Y484" s="53">
        <f>AVERAGE(T484:X484)</f>
        <v>5917.4</v>
      </c>
      <c r="Z484" s="25" t="s">
        <v>72</v>
      </c>
      <c r="AB484" s="132">
        <f>AC484-AG484</f>
        <v>266</v>
      </c>
      <c r="AC484" s="42">
        <v>2017</v>
      </c>
      <c r="AD484" s="42">
        <v>1237</v>
      </c>
      <c r="AE484" s="42">
        <v>1185</v>
      </c>
      <c r="AF484" s="42">
        <v>1711</v>
      </c>
      <c r="AG484" s="42">
        <v>1751</v>
      </c>
      <c r="AH484" s="53">
        <f>AVERAGE(AC484:AG484)</f>
        <v>1580.2</v>
      </c>
      <c r="AI484" s="25" t="s">
        <v>72</v>
      </c>
      <c r="AJ484" s="25"/>
      <c r="AK484" s="132">
        <f>AL484-AP484</f>
        <v>532</v>
      </c>
      <c r="AL484" s="42">
        <f t="shared" si="223"/>
        <v>4034</v>
      </c>
      <c r="AM484" s="42">
        <f t="shared" si="223"/>
        <v>2474</v>
      </c>
      <c r="AN484" s="42">
        <f t="shared" si="223"/>
        <v>2370</v>
      </c>
      <c r="AO484" s="42">
        <f t="shared" si="223"/>
        <v>3422</v>
      </c>
      <c r="AP484" s="42">
        <f t="shared" si="223"/>
        <v>3502</v>
      </c>
      <c r="AQ484" s="53">
        <f>AVERAGE(AL484:AP484)</f>
        <v>3160.4</v>
      </c>
      <c r="AR484" s="25" t="s">
        <v>72</v>
      </c>
      <c r="AT484" s="132">
        <f>AU484-AY484</f>
        <v>357</v>
      </c>
      <c r="AU484" s="42">
        <v>816</v>
      </c>
      <c r="AV484" s="42">
        <v>1012</v>
      </c>
      <c r="AW484" s="115">
        <v>432</v>
      </c>
      <c r="AX484" s="115">
        <v>395</v>
      </c>
      <c r="AY484" s="115">
        <v>459</v>
      </c>
      <c r="AZ484" s="53">
        <f>AVERAGE(AU484:AY484)</f>
        <v>622.8</v>
      </c>
      <c r="BA484" s="133" t="s">
        <v>72</v>
      </c>
      <c r="BC484" s="146">
        <f>BD484-BH484</f>
        <v>-102</v>
      </c>
      <c r="BD484" s="147">
        <v>816</v>
      </c>
      <c r="BE484" s="147">
        <v>1012</v>
      </c>
      <c r="BF484" s="147">
        <f t="shared" si="224"/>
        <v>864</v>
      </c>
      <c r="BG484" s="147">
        <f t="shared" si="224"/>
        <v>790</v>
      </c>
      <c r="BH484" s="147">
        <f t="shared" si="224"/>
        <v>918</v>
      </c>
      <c r="BI484" s="53">
        <f>AVERAGE(BD484:BH484)</f>
        <v>880</v>
      </c>
    </row>
    <row r="485" spans="8:61" ht="12">
      <c r="H485" s="88"/>
      <c r="I485" s="88"/>
      <c r="J485" s="88"/>
      <c r="K485" s="90" t="s">
        <v>68</v>
      </c>
      <c r="L485" s="90" t="s">
        <v>68</v>
      </c>
      <c r="M485" s="90" t="s">
        <v>68</v>
      </c>
      <c r="N485" s="90" t="s">
        <v>68</v>
      </c>
      <c r="O485" s="90" t="s">
        <v>68</v>
      </c>
      <c r="P485" s="91" t="s">
        <v>68</v>
      </c>
      <c r="Q485" s="25" t="s">
        <v>35</v>
      </c>
      <c r="S485" s="132">
        <f>T485-X485</f>
        <v>-9587</v>
      </c>
      <c r="T485" s="42">
        <f>7629+T484</f>
        <v>13398</v>
      </c>
      <c r="U485" s="42">
        <f>7042+U484</f>
        <v>12307</v>
      </c>
      <c r="V485" s="42">
        <f>20848+V484</f>
        <v>26789</v>
      </c>
      <c r="W485" s="42">
        <f>19582+W484</f>
        <v>25739</v>
      </c>
      <c r="X485" s="42">
        <f>16530+X484</f>
        <v>22985</v>
      </c>
      <c r="Y485" s="53">
        <f>AVERAGE(T485:X485)</f>
        <v>20243.6</v>
      </c>
      <c r="Z485" s="25" t="s">
        <v>35</v>
      </c>
      <c r="AB485" s="132">
        <f>AC485-AG485</f>
        <v>-57</v>
      </c>
      <c r="AC485" s="42">
        <v>4055</v>
      </c>
      <c r="AD485" s="42">
        <v>3958</v>
      </c>
      <c r="AE485" s="42">
        <f>2520+49+470+AE484</f>
        <v>4224</v>
      </c>
      <c r="AF485" s="42">
        <f>1810+186+896+AF484</f>
        <v>4603</v>
      </c>
      <c r="AG485" s="42">
        <f>2157+204+AG484</f>
        <v>4112</v>
      </c>
      <c r="AH485" s="53">
        <f>AVERAGE(AC485:AG485)</f>
        <v>4190.4</v>
      </c>
      <c r="AI485" s="25" t="s">
        <v>35</v>
      </c>
      <c r="AJ485" s="25"/>
      <c r="AK485" s="132">
        <f>AL485-AP485</f>
        <v>-114</v>
      </c>
      <c r="AL485" s="42">
        <f t="shared" si="223"/>
        <v>8110</v>
      </c>
      <c r="AM485" s="42">
        <f t="shared" si="223"/>
        <v>7916</v>
      </c>
      <c r="AN485" s="42">
        <f t="shared" si="223"/>
        <v>8448</v>
      </c>
      <c r="AO485" s="42">
        <f t="shared" si="223"/>
        <v>9206</v>
      </c>
      <c r="AP485" s="42">
        <f t="shared" si="223"/>
        <v>8224</v>
      </c>
      <c r="AQ485" s="53">
        <f>AVERAGE(AL485:AP485)</f>
        <v>8380.8</v>
      </c>
      <c r="AR485" s="25" t="s">
        <v>35</v>
      </c>
      <c r="AT485" s="132">
        <f>AU485-AY485</f>
        <v>339</v>
      </c>
      <c r="AU485" s="42">
        <v>1057</v>
      </c>
      <c r="AV485" s="42">
        <v>1541</v>
      </c>
      <c r="AW485" s="115">
        <v>820</v>
      </c>
      <c r="AX485" s="115">
        <v>692</v>
      </c>
      <c r="AY485" s="115">
        <f>164+6+89+AY484</f>
        <v>718</v>
      </c>
      <c r="AZ485" s="53">
        <f>AVERAGE(AU485:AY485)</f>
        <v>965.6</v>
      </c>
      <c r="BA485" s="133" t="s">
        <v>35</v>
      </c>
      <c r="BC485" s="146">
        <f>BD485-BH485</f>
        <v>-379</v>
      </c>
      <c r="BD485" s="147">
        <v>1057</v>
      </c>
      <c r="BE485" s="147">
        <v>1541</v>
      </c>
      <c r="BF485" s="147">
        <f t="shared" si="224"/>
        <v>1640</v>
      </c>
      <c r="BG485" s="147">
        <f t="shared" si="224"/>
        <v>1384</v>
      </c>
      <c r="BH485" s="147">
        <f t="shared" si="224"/>
        <v>1436</v>
      </c>
      <c r="BI485" s="53">
        <f>AVERAGE(BD485:BH485)</f>
        <v>1411.6</v>
      </c>
    </row>
    <row r="486" spans="8:61" ht="12">
      <c r="H486" s="88" t="s">
        <v>26</v>
      </c>
      <c r="I486" s="92"/>
      <c r="J486" s="92"/>
      <c r="K486" s="93">
        <v>3611</v>
      </c>
      <c r="L486" s="93">
        <v>2639</v>
      </c>
      <c r="M486" s="93">
        <v>2298</v>
      </c>
      <c r="N486" s="93"/>
      <c r="O486" s="93"/>
      <c r="P486" s="94">
        <f>AVERAGE(K486:O486)</f>
        <v>2849.3333333333335</v>
      </c>
      <c r="Q486" s="25" t="s">
        <v>100</v>
      </c>
      <c r="S486" s="132">
        <f>T486-X486</f>
        <v>-14486</v>
      </c>
      <c r="T486" s="42">
        <v>-13593</v>
      </c>
      <c r="U486" s="42">
        <v>-9895</v>
      </c>
      <c r="V486" s="42">
        <v>-5796</v>
      </c>
      <c r="W486" s="42">
        <v>-659</v>
      </c>
      <c r="X486" s="42">
        <v>893</v>
      </c>
      <c r="Y486" s="53">
        <f>AVERAGE(T486:X486)</f>
        <v>-5810</v>
      </c>
      <c r="Z486" s="25" t="s">
        <v>100</v>
      </c>
      <c r="AB486" s="132">
        <f>AC486-AG486</f>
        <v>-1650</v>
      </c>
      <c r="AC486" s="42">
        <v>1155</v>
      </c>
      <c r="AD486" s="42">
        <v>909</v>
      </c>
      <c r="AE486" s="42">
        <v>2369</v>
      </c>
      <c r="AF486" s="42">
        <v>1991</v>
      </c>
      <c r="AG486" s="42">
        <v>2805</v>
      </c>
      <c r="AH486" s="53">
        <f>AVERAGE(AC486:AG486)</f>
        <v>1845.8</v>
      </c>
      <c r="AI486" s="25" t="s">
        <v>100</v>
      </c>
      <c r="AJ486" s="25"/>
      <c r="AK486" s="132">
        <f>AL486-AP486</f>
        <v>-3300</v>
      </c>
      <c r="AL486" s="42">
        <f t="shared" si="223"/>
        <v>2310</v>
      </c>
      <c r="AM486" s="42">
        <f t="shared" si="223"/>
        <v>1818</v>
      </c>
      <c r="AN486" s="42">
        <f t="shared" si="223"/>
        <v>4738</v>
      </c>
      <c r="AO486" s="42">
        <f t="shared" si="223"/>
        <v>3982</v>
      </c>
      <c r="AP486" s="42">
        <f t="shared" si="223"/>
        <v>5610</v>
      </c>
      <c r="AQ486" s="53">
        <f>AVERAGE(AL486:AP486)</f>
        <v>3691.6</v>
      </c>
      <c r="AR486" s="25" t="s">
        <v>100</v>
      </c>
      <c r="AT486" s="132">
        <f>AU486-AY486</f>
        <v>1657</v>
      </c>
      <c r="AU486" s="42">
        <f>3231-AU485</f>
        <v>2174</v>
      </c>
      <c r="AV486" s="42">
        <f>AV483-AV485</f>
        <v>1435</v>
      </c>
      <c r="AW486" s="115">
        <f>AW483-AW485</f>
        <v>702</v>
      </c>
      <c r="AX486" s="115">
        <f>AX483-AX485</f>
        <v>610</v>
      </c>
      <c r="AY486" s="115">
        <f>AY483-AY485</f>
        <v>517</v>
      </c>
      <c r="AZ486" s="53">
        <f>AVERAGE(AU486:AY486)</f>
        <v>1087.6</v>
      </c>
      <c r="BA486" s="133" t="s">
        <v>100</v>
      </c>
      <c r="BC486" s="146">
        <f>BD486-BH486</f>
        <v>1140</v>
      </c>
      <c r="BD486" s="147">
        <f>3231-BD485</f>
        <v>2174</v>
      </c>
      <c r="BE486" s="147">
        <f>BE483-BE485</f>
        <v>1435</v>
      </c>
      <c r="BF486" s="147">
        <f t="shared" si="224"/>
        <v>1404</v>
      </c>
      <c r="BG486" s="147">
        <f t="shared" si="224"/>
        <v>1220</v>
      </c>
      <c r="BH486" s="147">
        <f t="shared" si="224"/>
        <v>1034</v>
      </c>
      <c r="BI486" s="53">
        <f>AVERAGE(BD486:BH486)</f>
        <v>1453.4</v>
      </c>
    </row>
    <row r="487" spans="8:61" ht="12">
      <c r="H487" s="88" t="s">
        <v>93</v>
      </c>
      <c r="I487" s="88"/>
      <c r="J487" s="88"/>
      <c r="K487" s="93">
        <v>54489</v>
      </c>
      <c r="L487" s="93">
        <v>50086</v>
      </c>
      <c r="M487" s="93">
        <v>37905</v>
      </c>
      <c r="N487" s="93"/>
      <c r="O487" s="93"/>
      <c r="P487" s="94">
        <f>AVERAGE(K487:O487)</f>
        <v>47493.333333333336</v>
      </c>
      <c r="Q487" s="22"/>
      <c r="R487" s="22"/>
      <c r="S487" s="22"/>
      <c r="T487" s="42"/>
      <c r="U487" s="42"/>
      <c r="V487" s="42"/>
      <c r="W487" s="42"/>
      <c r="X487" s="42"/>
      <c r="Y487" s="53"/>
      <c r="Z487" s="22"/>
      <c r="AA487" s="22"/>
      <c r="AB487" s="22"/>
      <c r="AC487" s="42"/>
      <c r="AD487" s="42"/>
      <c r="AE487" s="42"/>
      <c r="AF487" s="42"/>
      <c r="AG487" s="42"/>
      <c r="AH487" s="53"/>
      <c r="AI487" s="22"/>
      <c r="AJ487" s="22"/>
      <c r="AK487" s="22"/>
      <c r="AL487" s="42"/>
      <c r="AM487" s="42"/>
      <c r="AN487" s="42"/>
      <c r="AO487" s="42"/>
      <c r="AP487" s="42"/>
      <c r="AQ487" s="53"/>
      <c r="AR487" s="22"/>
      <c r="AS487" s="22"/>
      <c r="AT487" s="22"/>
      <c r="AU487" s="42"/>
      <c r="AV487" s="42"/>
      <c r="AW487" s="115"/>
      <c r="AX487" s="115"/>
      <c r="AY487" s="115"/>
      <c r="AZ487" s="53"/>
      <c r="BA487" s="139"/>
      <c r="BB487" s="139"/>
      <c r="BC487" s="139"/>
      <c r="BD487" s="147"/>
      <c r="BE487" s="147"/>
      <c r="BF487" s="147"/>
      <c r="BG487" s="147"/>
      <c r="BH487" s="147"/>
      <c r="BI487" s="53"/>
    </row>
    <row r="488" spans="8:61" ht="12">
      <c r="H488" s="88" t="s">
        <v>72</v>
      </c>
      <c r="I488" s="88"/>
      <c r="J488" s="88"/>
      <c r="K488" s="93">
        <v>116</v>
      </c>
      <c r="L488" s="93">
        <v>177</v>
      </c>
      <c r="M488" s="93">
        <v>156</v>
      </c>
      <c r="N488" s="93"/>
      <c r="O488" s="93"/>
      <c r="P488" s="94">
        <f>AVERAGE(K488:O488)</f>
        <v>149.66666666666666</v>
      </c>
      <c r="Q488" s="25" t="s">
        <v>73</v>
      </c>
      <c r="S488" s="132">
        <f aca="true" t="shared" si="225" ref="S488:S493">T488-X488</f>
        <v>3305</v>
      </c>
      <c r="T488" s="42">
        <v>17171</v>
      </c>
      <c r="U488" s="42">
        <v>16191</v>
      </c>
      <c r="V488" s="42">
        <v>15235</v>
      </c>
      <c r="W488" s="42">
        <v>14308</v>
      </c>
      <c r="X488" s="42">
        <v>13866</v>
      </c>
      <c r="Y488" s="53">
        <f aca="true" t="shared" si="226" ref="Y488:Y493">AVERAGE(T488:X488)</f>
        <v>15354.2</v>
      </c>
      <c r="Z488" s="25" t="s">
        <v>73</v>
      </c>
      <c r="AB488" s="132">
        <f aca="true" t="shared" si="227" ref="AB488:AB493">AC488-AG488</f>
        <v>-337</v>
      </c>
      <c r="AC488" s="42">
        <v>7798</v>
      </c>
      <c r="AD488" s="42">
        <v>7491</v>
      </c>
      <c r="AE488" s="42">
        <v>8301</v>
      </c>
      <c r="AF488" s="42">
        <v>8019</v>
      </c>
      <c r="AG488" s="42">
        <v>8135</v>
      </c>
      <c r="AH488" s="53">
        <f aca="true" t="shared" si="228" ref="AH488:AH493">AVERAGE(AC488:AG488)</f>
        <v>7948.8</v>
      </c>
      <c r="AI488" s="25" t="s">
        <v>73</v>
      </c>
      <c r="AJ488" s="25"/>
      <c r="AK488" s="132">
        <f aca="true" t="shared" si="229" ref="AK488:AK493">AL488-AP488</f>
        <v>-674</v>
      </c>
      <c r="AL488" s="42">
        <f aca="true" t="shared" si="230" ref="AL488:AP493">2*AC488</f>
        <v>15596</v>
      </c>
      <c r="AM488" s="42">
        <f t="shared" si="230"/>
        <v>14982</v>
      </c>
      <c r="AN488" s="42">
        <f t="shared" si="230"/>
        <v>16602</v>
      </c>
      <c r="AO488" s="42">
        <f t="shared" si="230"/>
        <v>16038</v>
      </c>
      <c r="AP488" s="42">
        <f t="shared" si="230"/>
        <v>16270</v>
      </c>
      <c r="AQ488" s="53">
        <f aca="true" t="shared" si="231" ref="AQ488:AQ493">AVERAGE(AL488:AP488)</f>
        <v>15897.6</v>
      </c>
      <c r="AR488" s="25" t="s">
        <v>73</v>
      </c>
      <c r="AT488" s="132">
        <f aca="true" t="shared" si="232" ref="AT488:AT493">AU488-AY488</f>
        <v>1695</v>
      </c>
      <c r="AU488" s="42">
        <v>2779</v>
      </c>
      <c r="AV488" s="42">
        <v>2552</v>
      </c>
      <c r="AW488" s="115">
        <v>1249</v>
      </c>
      <c r="AX488" s="115">
        <v>1179</v>
      </c>
      <c r="AY488" s="115">
        <v>1084</v>
      </c>
      <c r="AZ488" s="53">
        <f aca="true" t="shared" si="233" ref="AZ488:AZ493">AVERAGE(AU488:AY488)</f>
        <v>1768.6</v>
      </c>
      <c r="BA488" s="133" t="s">
        <v>73</v>
      </c>
      <c r="BC488" s="146">
        <f aca="true" t="shared" si="234" ref="BC488:BC493">BD488-BH488</f>
        <v>611</v>
      </c>
      <c r="BD488" s="147">
        <v>2779</v>
      </c>
      <c r="BE488" s="147">
        <v>2552</v>
      </c>
      <c r="BF488" s="147">
        <f aca="true" t="shared" si="235" ref="BF488:BH493">2*AW488</f>
        <v>2498</v>
      </c>
      <c r="BG488" s="147">
        <f t="shared" si="235"/>
        <v>2358</v>
      </c>
      <c r="BH488" s="147">
        <f t="shared" si="235"/>
        <v>2168</v>
      </c>
      <c r="BI488" s="53">
        <f aca="true" t="shared" si="236" ref="BI488:BI493">AVERAGE(BD488:BH488)</f>
        <v>2471</v>
      </c>
    </row>
    <row r="489" spans="8:61" ht="12">
      <c r="H489" s="88" t="s">
        <v>35</v>
      </c>
      <c r="I489" s="88"/>
      <c r="J489" s="88"/>
      <c r="K489" s="93">
        <v>50324</v>
      </c>
      <c r="L489" s="93">
        <v>46146</v>
      </c>
      <c r="M489" s="93">
        <v>35107</v>
      </c>
      <c r="N489" s="93"/>
      <c r="O489" s="93"/>
      <c r="P489" s="94">
        <f>AVERAGE(K489:O489)</f>
        <v>43859</v>
      </c>
      <c r="Q489" s="25" t="s">
        <v>74</v>
      </c>
      <c r="S489" s="132">
        <f t="shared" si="225"/>
        <v>1938</v>
      </c>
      <c r="T489" s="42">
        <v>17113</v>
      </c>
      <c r="U489" s="42">
        <v>18192</v>
      </c>
      <c r="V489" s="42">
        <v>18543</v>
      </c>
      <c r="W489" s="42">
        <v>15093</v>
      </c>
      <c r="X489" s="42">
        <v>15175</v>
      </c>
      <c r="Y489" s="53">
        <f t="shared" si="226"/>
        <v>16823.2</v>
      </c>
      <c r="Z489" s="25" t="s">
        <v>74</v>
      </c>
      <c r="AB489" s="132">
        <f t="shared" si="227"/>
        <v>-851</v>
      </c>
      <c r="AC489" s="42">
        <f>AC488-AC490</f>
        <v>6948</v>
      </c>
      <c r="AD489" s="42">
        <f>AD488-AD490</f>
        <v>6893</v>
      </c>
      <c r="AE489" s="42">
        <f>AE488-AE490</f>
        <v>7519</v>
      </c>
      <c r="AF489" s="42">
        <f>AF488-AF490</f>
        <v>7303</v>
      </c>
      <c r="AG489" s="42">
        <f>AG488-AG490</f>
        <v>7799</v>
      </c>
      <c r="AH489" s="53">
        <f t="shared" si="228"/>
        <v>7292.4</v>
      </c>
      <c r="AI489" s="25" t="s">
        <v>74</v>
      </c>
      <c r="AJ489" s="25"/>
      <c r="AK489" s="132">
        <f t="shared" si="229"/>
        <v>-1702</v>
      </c>
      <c r="AL489" s="42">
        <f t="shared" si="230"/>
        <v>13896</v>
      </c>
      <c r="AM489" s="42">
        <f t="shared" si="230"/>
        <v>13786</v>
      </c>
      <c r="AN489" s="42">
        <f t="shared" si="230"/>
        <v>15038</v>
      </c>
      <c r="AO489" s="42">
        <f t="shared" si="230"/>
        <v>14606</v>
      </c>
      <c r="AP489" s="42">
        <f t="shared" si="230"/>
        <v>15598</v>
      </c>
      <c r="AQ489" s="53">
        <f t="shared" si="231"/>
        <v>14584.8</v>
      </c>
      <c r="AR489" s="25" t="s">
        <v>74</v>
      </c>
      <c r="AT489" s="132">
        <f t="shared" si="232"/>
        <v>1307</v>
      </c>
      <c r="AU489" s="42">
        <f>AU488-AU490</f>
        <v>2242</v>
      </c>
      <c r="AV489" s="42">
        <f>AV488-AV490</f>
        <v>2130</v>
      </c>
      <c r="AW489" s="115">
        <f>AW488-AW490</f>
        <v>1084</v>
      </c>
      <c r="AX489" s="115">
        <f>AX488-AX490</f>
        <v>981</v>
      </c>
      <c r="AY489" s="115">
        <f>AY488-AY490</f>
        <v>935</v>
      </c>
      <c r="AZ489" s="53">
        <f t="shared" si="233"/>
        <v>1474.4</v>
      </c>
      <c r="BA489" s="133" t="s">
        <v>74</v>
      </c>
      <c r="BC489" s="146">
        <f t="shared" si="234"/>
        <v>372</v>
      </c>
      <c r="BD489" s="147">
        <f>BD488-BD490</f>
        <v>2242</v>
      </c>
      <c r="BE489" s="147">
        <f>BE488-BE490</f>
        <v>2130</v>
      </c>
      <c r="BF489" s="147">
        <f t="shared" si="235"/>
        <v>2168</v>
      </c>
      <c r="BG489" s="147">
        <f t="shared" si="235"/>
        <v>1962</v>
      </c>
      <c r="BH489" s="147">
        <f t="shared" si="235"/>
        <v>1870</v>
      </c>
      <c r="BI489" s="53">
        <f t="shared" si="236"/>
        <v>2074.4</v>
      </c>
    </row>
    <row r="490" spans="8:61" ht="12">
      <c r="H490" s="88" t="s">
        <v>100</v>
      </c>
      <c r="I490" s="88"/>
      <c r="J490" s="88"/>
      <c r="K490" s="93">
        <v>4165</v>
      </c>
      <c r="L490" s="93">
        <v>3940</v>
      </c>
      <c r="M490" s="93">
        <v>2798</v>
      </c>
      <c r="N490" s="93"/>
      <c r="O490" s="93"/>
      <c r="P490" s="94">
        <f>AVERAGE(K490:O490)</f>
        <v>3634.3333333333335</v>
      </c>
      <c r="Q490" s="25" t="s">
        <v>116</v>
      </c>
      <c r="S490" s="132">
        <f t="shared" si="225"/>
        <v>1367</v>
      </c>
      <c r="T490" s="42">
        <f>T488-T489</f>
        <v>58</v>
      </c>
      <c r="U490" s="42">
        <f>U488-U489</f>
        <v>-2001</v>
      </c>
      <c r="V490" s="42">
        <f>V488-V489</f>
        <v>-3308</v>
      </c>
      <c r="W490" s="42">
        <f>W488-W489</f>
        <v>-785</v>
      </c>
      <c r="X490" s="42">
        <f>X488-X489</f>
        <v>-1309</v>
      </c>
      <c r="Y490" s="53">
        <f t="shared" si="226"/>
        <v>-1469</v>
      </c>
      <c r="Z490" s="25" t="s">
        <v>116</v>
      </c>
      <c r="AB490" s="132">
        <f t="shared" si="227"/>
        <v>514</v>
      </c>
      <c r="AC490" s="42">
        <v>850</v>
      </c>
      <c r="AD490" s="42">
        <v>598</v>
      </c>
      <c r="AE490" s="42">
        <v>782</v>
      </c>
      <c r="AF490" s="42">
        <v>716</v>
      </c>
      <c r="AG490" s="42">
        <v>336</v>
      </c>
      <c r="AH490" s="53">
        <f t="shared" si="228"/>
        <v>656.4</v>
      </c>
      <c r="AI490" s="25" t="s">
        <v>116</v>
      </c>
      <c r="AJ490" s="25"/>
      <c r="AK490" s="132">
        <f t="shared" si="229"/>
        <v>1028</v>
      </c>
      <c r="AL490" s="42">
        <f t="shared" si="230"/>
        <v>1700</v>
      </c>
      <c r="AM490" s="42">
        <f t="shared" si="230"/>
        <v>1196</v>
      </c>
      <c r="AN490" s="42">
        <f t="shared" si="230"/>
        <v>1564</v>
      </c>
      <c r="AO490" s="42">
        <f t="shared" si="230"/>
        <v>1432</v>
      </c>
      <c r="AP490" s="42">
        <f t="shared" si="230"/>
        <v>672</v>
      </c>
      <c r="AQ490" s="53">
        <f t="shared" si="231"/>
        <v>1312.8</v>
      </c>
      <c r="AR490" s="25" t="s">
        <v>116</v>
      </c>
      <c r="AT490" s="132">
        <f t="shared" si="232"/>
        <v>388</v>
      </c>
      <c r="AU490" s="42">
        <v>537</v>
      </c>
      <c r="AV490" s="42">
        <v>422</v>
      </c>
      <c r="AW490" s="115">
        <v>165</v>
      </c>
      <c r="AX490" s="115">
        <v>198</v>
      </c>
      <c r="AY490" s="115">
        <v>149</v>
      </c>
      <c r="AZ490" s="53">
        <f t="shared" si="233"/>
        <v>294.2</v>
      </c>
      <c r="BA490" s="133" t="s">
        <v>116</v>
      </c>
      <c r="BC490" s="146">
        <f t="shared" si="234"/>
        <v>239</v>
      </c>
      <c r="BD490" s="147">
        <v>537</v>
      </c>
      <c r="BE490" s="147">
        <v>422</v>
      </c>
      <c r="BF490" s="147">
        <f t="shared" si="235"/>
        <v>330</v>
      </c>
      <c r="BG490" s="147">
        <f t="shared" si="235"/>
        <v>396</v>
      </c>
      <c r="BH490" s="147">
        <f t="shared" si="235"/>
        <v>298</v>
      </c>
      <c r="BI490" s="53">
        <f t="shared" si="236"/>
        <v>396.6</v>
      </c>
    </row>
    <row r="491" spans="8:61" ht="12">
      <c r="H491" s="92"/>
      <c r="I491" s="92"/>
      <c r="J491" s="92"/>
      <c r="K491" s="93"/>
      <c r="L491" s="93"/>
      <c r="M491" s="93"/>
      <c r="N491" s="93"/>
      <c r="O491" s="93"/>
      <c r="P491" s="94"/>
      <c r="Q491" s="25" t="s">
        <v>82</v>
      </c>
      <c r="S491" s="132">
        <f t="shared" si="225"/>
        <v>205</v>
      </c>
      <c r="T491" s="42">
        <v>870</v>
      </c>
      <c r="U491" s="42">
        <v>1032</v>
      </c>
      <c r="V491" s="42">
        <v>824</v>
      </c>
      <c r="W491" s="42">
        <v>757</v>
      </c>
      <c r="X491" s="42">
        <v>665</v>
      </c>
      <c r="Y491" s="53">
        <f t="shared" si="226"/>
        <v>829.6</v>
      </c>
      <c r="Z491" s="25" t="s">
        <v>82</v>
      </c>
      <c r="AB491" s="132">
        <f t="shared" si="227"/>
        <v>141</v>
      </c>
      <c r="AC491" s="42">
        <v>143</v>
      </c>
      <c r="AD491" s="42">
        <v>117</v>
      </c>
      <c r="AE491" s="42">
        <v>61</v>
      </c>
      <c r="AF491" s="42">
        <v>51</v>
      </c>
      <c r="AG491" s="42">
        <v>2</v>
      </c>
      <c r="AH491" s="53">
        <f t="shared" si="228"/>
        <v>74.8</v>
      </c>
      <c r="AI491" s="25" t="s">
        <v>82</v>
      </c>
      <c r="AJ491" s="25"/>
      <c r="AK491" s="132">
        <f t="shared" si="229"/>
        <v>282</v>
      </c>
      <c r="AL491" s="42">
        <f t="shared" si="230"/>
        <v>286</v>
      </c>
      <c r="AM491" s="42">
        <f t="shared" si="230"/>
        <v>234</v>
      </c>
      <c r="AN491" s="42">
        <f t="shared" si="230"/>
        <v>122</v>
      </c>
      <c r="AO491" s="42">
        <f t="shared" si="230"/>
        <v>102</v>
      </c>
      <c r="AP491" s="42">
        <f t="shared" si="230"/>
        <v>4</v>
      </c>
      <c r="AQ491" s="53">
        <f t="shared" si="231"/>
        <v>149.6</v>
      </c>
      <c r="AR491" s="25" t="s">
        <v>82</v>
      </c>
      <c r="AT491" s="132">
        <f t="shared" si="232"/>
        <v>-8</v>
      </c>
      <c r="AU491" s="42">
        <v>9</v>
      </c>
      <c r="AV491" s="42">
        <v>18</v>
      </c>
      <c r="AW491" s="115">
        <v>13</v>
      </c>
      <c r="AX491" s="115">
        <v>16</v>
      </c>
      <c r="AY491" s="115">
        <v>17</v>
      </c>
      <c r="AZ491" s="53">
        <f t="shared" si="233"/>
        <v>14.6</v>
      </c>
      <c r="BA491" s="133" t="s">
        <v>82</v>
      </c>
      <c r="BC491" s="146">
        <f t="shared" si="234"/>
        <v>-25</v>
      </c>
      <c r="BD491" s="147">
        <v>9</v>
      </c>
      <c r="BE491" s="147">
        <v>18</v>
      </c>
      <c r="BF491" s="147">
        <f t="shared" si="235"/>
        <v>26</v>
      </c>
      <c r="BG491" s="147">
        <f t="shared" si="235"/>
        <v>32</v>
      </c>
      <c r="BH491" s="147">
        <f t="shared" si="235"/>
        <v>34</v>
      </c>
      <c r="BI491" s="53">
        <f t="shared" si="236"/>
        <v>23.8</v>
      </c>
    </row>
    <row r="492" spans="8:61" ht="12">
      <c r="H492" s="88" t="s">
        <v>73</v>
      </c>
      <c r="I492" s="88"/>
      <c r="J492" s="88"/>
      <c r="K492" s="93">
        <v>5158</v>
      </c>
      <c r="L492" s="93">
        <v>7691</v>
      </c>
      <c r="M492" s="93">
        <v>4379</v>
      </c>
      <c r="N492" s="93"/>
      <c r="O492" s="93"/>
      <c r="P492" s="94">
        <f aca="true" t="shared" si="237" ref="P492:P497">AVERAGE(K492:O492)</f>
        <v>5742.666666666667</v>
      </c>
      <c r="Q492" s="25" t="s">
        <v>83</v>
      </c>
      <c r="S492" s="132">
        <f t="shared" si="225"/>
        <v>-35</v>
      </c>
      <c r="T492" s="42">
        <v>-765</v>
      </c>
      <c r="U492" s="42">
        <v>-41</v>
      </c>
      <c r="V492" s="42">
        <v>1206</v>
      </c>
      <c r="W492" s="42">
        <v>-416</v>
      </c>
      <c r="X492" s="42">
        <v>-730</v>
      </c>
      <c r="Y492" s="53">
        <f t="shared" si="226"/>
        <v>-149.2</v>
      </c>
      <c r="Z492" s="25" t="s">
        <v>83</v>
      </c>
      <c r="AB492" s="132">
        <f t="shared" si="227"/>
        <v>-77</v>
      </c>
      <c r="AC492" s="42">
        <v>102</v>
      </c>
      <c r="AD492" s="42">
        <v>167</v>
      </c>
      <c r="AE492" s="42">
        <v>220</v>
      </c>
      <c r="AF492" s="42">
        <v>217</v>
      </c>
      <c r="AG492" s="42">
        <v>179</v>
      </c>
      <c r="AH492" s="53">
        <f t="shared" si="228"/>
        <v>177</v>
      </c>
      <c r="AI492" s="25" t="s">
        <v>83</v>
      </c>
      <c r="AJ492" s="25"/>
      <c r="AK492" s="132">
        <f t="shared" si="229"/>
        <v>-154</v>
      </c>
      <c r="AL492" s="42">
        <f t="shared" si="230"/>
        <v>204</v>
      </c>
      <c r="AM492" s="42">
        <f t="shared" si="230"/>
        <v>334</v>
      </c>
      <c r="AN492" s="42">
        <f t="shared" si="230"/>
        <v>440</v>
      </c>
      <c r="AO492" s="42">
        <f t="shared" si="230"/>
        <v>434</v>
      </c>
      <c r="AP492" s="42">
        <f t="shared" si="230"/>
        <v>358</v>
      </c>
      <c r="AQ492" s="53">
        <f t="shared" si="231"/>
        <v>354</v>
      </c>
      <c r="AR492" s="25" t="s">
        <v>83</v>
      </c>
      <c r="AT492" s="132">
        <f t="shared" si="232"/>
        <v>92</v>
      </c>
      <c r="AU492" s="42">
        <v>144</v>
      </c>
      <c r="AV492" s="42">
        <v>112</v>
      </c>
      <c r="AW492" s="115">
        <v>38</v>
      </c>
      <c r="AX492" s="115">
        <v>52</v>
      </c>
      <c r="AY492" s="115">
        <v>52</v>
      </c>
      <c r="AZ492" s="53">
        <f t="shared" si="233"/>
        <v>79.6</v>
      </c>
      <c r="BA492" s="133" t="s">
        <v>83</v>
      </c>
      <c r="BC492" s="146">
        <f t="shared" si="234"/>
        <v>40</v>
      </c>
      <c r="BD492" s="147">
        <v>144</v>
      </c>
      <c r="BE492" s="147">
        <v>112</v>
      </c>
      <c r="BF492" s="147">
        <f t="shared" si="235"/>
        <v>76</v>
      </c>
      <c r="BG492" s="147">
        <f t="shared" si="235"/>
        <v>104</v>
      </c>
      <c r="BH492" s="147">
        <f t="shared" si="235"/>
        <v>104</v>
      </c>
      <c r="BI492" s="53">
        <f t="shared" si="236"/>
        <v>108</v>
      </c>
    </row>
    <row r="493" spans="8:61" ht="12">
      <c r="H493" s="88" t="s">
        <v>74</v>
      </c>
      <c r="I493" s="88"/>
      <c r="J493" s="88"/>
      <c r="K493" s="93">
        <v>4668</v>
      </c>
      <c r="L493" s="93">
        <v>7324</v>
      </c>
      <c r="M493" s="93">
        <v>4158</v>
      </c>
      <c r="N493" s="93"/>
      <c r="O493" s="93"/>
      <c r="P493" s="94">
        <f t="shared" si="237"/>
        <v>5383.333333333333</v>
      </c>
      <c r="Q493" s="25" t="s">
        <v>98</v>
      </c>
      <c r="S493" s="132">
        <f t="shared" si="225"/>
        <v>-4931</v>
      </c>
      <c r="T493" s="42">
        <v>-6203</v>
      </c>
      <c r="U493" s="42">
        <v>-3818</v>
      </c>
      <c r="V493" s="42">
        <v>-5198</v>
      </c>
      <c r="W493" s="42">
        <v>-773</v>
      </c>
      <c r="X493" s="42">
        <v>-1272</v>
      </c>
      <c r="Y493" s="53">
        <f t="shared" si="226"/>
        <v>-3452.8</v>
      </c>
      <c r="Z493" s="25" t="s">
        <v>98</v>
      </c>
      <c r="AB493" s="132">
        <f t="shared" si="227"/>
        <v>370</v>
      </c>
      <c r="AC493" s="42">
        <v>523</v>
      </c>
      <c r="AD493" s="42">
        <v>586</v>
      </c>
      <c r="AE493" s="42">
        <v>552</v>
      </c>
      <c r="AF493" s="42">
        <v>507</v>
      </c>
      <c r="AG493" s="42">
        <v>153</v>
      </c>
      <c r="AH493" s="53">
        <f t="shared" si="228"/>
        <v>464.2</v>
      </c>
      <c r="AI493" s="25" t="s">
        <v>98</v>
      </c>
      <c r="AJ493" s="25"/>
      <c r="AK493" s="132">
        <f t="shared" si="229"/>
        <v>740</v>
      </c>
      <c r="AL493" s="42">
        <f t="shared" si="230"/>
        <v>1046</v>
      </c>
      <c r="AM493" s="42">
        <f t="shared" si="230"/>
        <v>1172</v>
      </c>
      <c r="AN493" s="42">
        <f t="shared" si="230"/>
        <v>1104</v>
      </c>
      <c r="AO493" s="42">
        <f t="shared" si="230"/>
        <v>1014</v>
      </c>
      <c r="AP493" s="42">
        <f t="shared" si="230"/>
        <v>306</v>
      </c>
      <c r="AQ493" s="53">
        <f t="shared" si="231"/>
        <v>928.4</v>
      </c>
      <c r="AR493" s="25" t="s">
        <v>98</v>
      </c>
      <c r="AT493" s="132">
        <f t="shared" si="232"/>
        <v>633</v>
      </c>
      <c r="AU493" s="42">
        <v>745</v>
      </c>
      <c r="AV493" s="42">
        <v>333</v>
      </c>
      <c r="AW493" s="115">
        <v>138</v>
      </c>
      <c r="AX493" s="115">
        <v>172</v>
      </c>
      <c r="AY493" s="115">
        <v>112</v>
      </c>
      <c r="AZ493" s="53">
        <f t="shared" si="233"/>
        <v>300</v>
      </c>
      <c r="BA493" s="133" t="s">
        <v>98</v>
      </c>
      <c r="BC493" s="146">
        <f t="shared" si="234"/>
        <v>521</v>
      </c>
      <c r="BD493" s="147">
        <v>745</v>
      </c>
      <c r="BE493" s="147">
        <v>333</v>
      </c>
      <c r="BF493" s="147">
        <f t="shared" si="235"/>
        <v>276</v>
      </c>
      <c r="BG493" s="147">
        <f t="shared" si="235"/>
        <v>344</v>
      </c>
      <c r="BH493" s="147">
        <f t="shared" si="235"/>
        <v>224</v>
      </c>
      <c r="BI493" s="53">
        <f t="shared" si="236"/>
        <v>384.4</v>
      </c>
    </row>
    <row r="494" spans="8:61" ht="12">
      <c r="H494" s="88" t="s">
        <v>116</v>
      </c>
      <c r="I494" s="88"/>
      <c r="J494" s="88"/>
      <c r="K494" s="93">
        <f>K492-K493</f>
        <v>490</v>
      </c>
      <c r="L494" s="93">
        <f>L492-L493</f>
        <v>367</v>
      </c>
      <c r="M494" s="93">
        <f>M492-M493</f>
        <v>221</v>
      </c>
      <c r="N494" s="93">
        <f>N492-N493</f>
        <v>0</v>
      </c>
      <c r="O494" s="93">
        <f>O492-O493</f>
        <v>0</v>
      </c>
      <c r="P494" s="94">
        <f t="shared" si="237"/>
        <v>215.6</v>
      </c>
      <c r="Q494" s="22"/>
      <c r="R494" s="22"/>
      <c r="S494" s="22"/>
      <c r="T494" s="42"/>
      <c r="U494" s="42"/>
      <c r="V494" s="42"/>
      <c r="W494" s="42"/>
      <c r="X494" s="42"/>
      <c r="Y494" s="53"/>
      <c r="Z494" s="22"/>
      <c r="AA494" s="22"/>
      <c r="AB494" s="22"/>
      <c r="AC494" s="42"/>
      <c r="AD494" s="42"/>
      <c r="AE494" s="42"/>
      <c r="AF494" s="42"/>
      <c r="AG494" s="42"/>
      <c r="AH494" s="53"/>
      <c r="AI494" s="22"/>
      <c r="AJ494" s="22"/>
      <c r="AK494" s="22"/>
      <c r="AL494" s="42"/>
      <c r="AM494" s="42"/>
      <c r="AN494" s="42"/>
      <c r="AO494" s="42"/>
      <c r="AP494" s="42"/>
      <c r="AQ494" s="53"/>
      <c r="AR494" s="22"/>
      <c r="AS494" s="22"/>
      <c r="AT494" s="22"/>
      <c r="AU494" s="42"/>
      <c r="AV494" s="42"/>
      <c r="AW494" s="115"/>
      <c r="AX494" s="115"/>
      <c r="AY494" s="115"/>
      <c r="AZ494" s="53"/>
      <c r="BA494" s="139"/>
      <c r="BB494" s="139"/>
      <c r="BC494" s="139"/>
      <c r="BD494" s="147"/>
      <c r="BE494" s="147"/>
      <c r="BF494" s="147"/>
      <c r="BG494" s="147"/>
      <c r="BH494" s="147"/>
      <c r="BI494" s="53"/>
    </row>
    <row r="495" spans="8:61" ht="12">
      <c r="H495" s="88" t="s">
        <v>82</v>
      </c>
      <c r="I495" s="88"/>
      <c r="J495" s="88"/>
      <c r="K495" s="93">
        <v>88</v>
      </c>
      <c r="L495" s="93">
        <v>89</v>
      </c>
      <c r="M495" s="93">
        <v>50</v>
      </c>
      <c r="N495" s="93"/>
      <c r="O495" s="93"/>
      <c r="P495" s="94">
        <f t="shared" si="237"/>
        <v>75.66666666666667</v>
      </c>
      <c r="Q495" s="25" t="s">
        <v>60</v>
      </c>
      <c r="S495" s="28" t="s">
        <v>17</v>
      </c>
      <c r="T495" s="28" t="s">
        <v>38</v>
      </c>
      <c r="U495" s="28" t="s">
        <v>38</v>
      </c>
      <c r="V495" s="28" t="s">
        <v>38</v>
      </c>
      <c r="W495" s="28" t="s">
        <v>38</v>
      </c>
      <c r="X495" s="28" t="s">
        <v>38</v>
      </c>
      <c r="Y495" s="143" t="s">
        <v>38</v>
      </c>
      <c r="AH495" s="137"/>
      <c r="AI495" s="25" t="s">
        <v>60</v>
      </c>
      <c r="AJ495" s="25"/>
      <c r="AK495" s="28" t="s">
        <v>17</v>
      </c>
      <c r="AL495" s="28" t="s">
        <v>38</v>
      </c>
      <c r="AM495" s="28" t="s">
        <v>38</v>
      </c>
      <c r="AN495" s="28" t="s">
        <v>38</v>
      </c>
      <c r="AO495" s="28" t="s">
        <v>38</v>
      </c>
      <c r="AP495" s="28" t="s">
        <v>38</v>
      </c>
      <c r="AQ495" s="143" t="s">
        <v>38</v>
      </c>
      <c r="AW495" s="116"/>
      <c r="AX495" s="116"/>
      <c r="AY495" s="116"/>
      <c r="AZ495" s="137"/>
      <c r="BA495" s="133" t="s">
        <v>60</v>
      </c>
      <c r="BC495" s="143" t="s">
        <v>17</v>
      </c>
      <c r="BD495" s="143" t="s">
        <v>38</v>
      </c>
      <c r="BE495" s="143" t="s">
        <v>38</v>
      </c>
      <c r="BF495" s="143" t="s">
        <v>38</v>
      </c>
      <c r="BG495" s="143" t="s">
        <v>38</v>
      </c>
      <c r="BH495" s="143" t="s">
        <v>38</v>
      </c>
      <c r="BI495" s="143" t="s">
        <v>38</v>
      </c>
    </row>
    <row r="496" spans="8:61" ht="12">
      <c r="H496" s="88" t="s">
        <v>83</v>
      </c>
      <c r="I496" s="88"/>
      <c r="J496" s="88"/>
      <c r="K496" s="93">
        <v>86</v>
      </c>
      <c r="L496" s="93">
        <v>61</v>
      </c>
      <c r="M496" s="93">
        <v>18</v>
      </c>
      <c r="N496" s="93"/>
      <c r="O496" s="93"/>
      <c r="P496" s="94">
        <f t="shared" si="237"/>
        <v>55</v>
      </c>
      <c r="R496" s="25" t="s">
        <v>61</v>
      </c>
      <c r="S496" s="44">
        <f>T496-X496</f>
        <v>-21.14</v>
      </c>
      <c r="T496" s="33">
        <v>-31.58</v>
      </c>
      <c r="U496" s="33">
        <v>-23.75</v>
      </c>
      <c r="V496" s="33">
        <v>-41.07</v>
      </c>
      <c r="W496" s="33">
        <v>-6.4</v>
      </c>
      <c r="X496" s="33">
        <v>-10.44</v>
      </c>
      <c r="Y496" s="140">
        <f>AVERAGE(T496:X496)</f>
        <v>-22.648000000000003</v>
      </c>
      <c r="AC496" s="42"/>
      <c r="AD496" s="42"/>
      <c r="AE496" s="42"/>
      <c r="AF496" s="42"/>
      <c r="AG496" s="42"/>
      <c r="AH496" s="53"/>
      <c r="AI496" s="25"/>
      <c r="AJ496" s="25" t="s">
        <v>61</v>
      </c>
      <c r="AK496" s="44">
        <f>AL496-AP496</f>
        <v>0.52</v>
      </c>
      <c r="AL496" s="33">
        <f aca="true" t="shared" si="238" ref="AL496:AP497">2*AC498</f>
        <v>0.62</v>
      </c>
      <c r="AM496" s="33">
        <f t="shared" si="238"/>
        <v>0.58</v>
      </c>
      <c r="AN496" s="33">
        <f t="shared" si="238"/>
        <v>0.48</v>
      </c>
      <c r="AO496" s="33">
        <f t="shared" si="238"/>
        <v>0.44</v>
      </c>
      <c r="AP496" s="33">
        <f t="shared" si="238"/>
        <v>0.1</v>
      </c>
      <c r="AQ496" s="140">
        <f>AVERAGE(AL496:AP496)</f>
        <v>0.44400000000000006</v>
      </c>
      <c r="AU496" s="42"/>
      <c r="AV496" s="42"/>
      <c r="AW496" s="115"/>
      <c r="AX496" s="115"/>
      <c r="AY496" s="115"/>
      <c r="AZ496" s="53"/>
      <c r="BB496" s="133" t="s">
        <v>61</v>
      </c>
      <c r="BC496" s="148">
        <f>BD496-BH496</f>
        <v>0.55</v>
      </c>
      <c r="BD496" s="133">
        <v>0.79</v>
      </c>
      <c r="BE496" s="133">
        <v>0.36</v>
      </c>
      <c r="BF496" s="149">
        <f aca="true" t="shared" si="239" ref="BF496:BH497">2*AW498</f>
        <v>0.3</v>
      </c>
      <c r="BG496" s="149">
        <f t="shared" si="239"/>
        <v>0.38</v>
      </c>
      <c r="BH496" s="149">
        <f t="shared" si="239"/>
        <v>0.24</v>
      </c>
      <c r="BI496" s="140">
        <f>AVERAGE(BD496:BH496)</f>
        <v>0.41400000000000003</v>
      </c>
    </row>
    <row r="497" spans="8:61" ht="12">
      <c r="H497" s="88" t="s">
        <v>98</v>
      </c>
      <c r="I497" s="88"/>
      <c r="J497" s="88"/>
      <c r="K497" s="93">
        <v>421</v>
      </c>
      <c r="L497" s="93">
        <v>197</v>
      </c>
      <c r="M497" s="93">
        <v>180</v>
      </c>
      <c r="N497" s="93"/>
      <c r="O497" s="93"/>
      <c r="P497" s="94">
        <f t="shared" si="237"/>
        <v>266</v>
      </c>
      <c r="R497" s="25" t="s">
        <v>62</v>
      </c>
      <c r="S497" s="44">
        <f>T497-X497</f>
        <v>-21.14</v>
      </c>
      <c r="T497" s="33">
        <v>-31.58</v>
      </c>
      <c r="U497" s="33">
        <v>-23.75</v>
      </c>
      <c r="V497" s="33">
        <v>-41.07</v>
      </c>
      <c r="W497" s="33">
        <v>-6.4</v>
      </c>
      <c r="X497" s="33">
        <v>-10.44</v>
      </c>
      <c r="Y497" s="140">
        <f>AVERAGE(T497:X497)</f>
        <v>-22.648000000000003</v>
      </c>
      <c r="Z497" s="25" t="s">
        <v>60</v>
      </c>
      <c r="AB497" s="28" t="s">
        <v>17</v>
      </c>
      <c r="AC497" s="28" t="s">
        <v>68</v>
      </c>
      <c r="AD497" s="28" t="s">
        <v>68</v>
      </c>
      <c r="AE497" s="28" t="s">
        <v>68</v>
      </c>
      <c r="AF497" s="28" t="s">
        <v>68</v>
      </c>
      <c r="AG497" s="28" t="s">
        <v>68</v>
      </c>
      <c r="AH497" s="138" t="s">
        <v>68</v>
      </c>
      <c r="AI497" s="25"/>
      <c r="AJ497" s="25" t="s">
        <v>62</v>
      </c>
      <c r="AK497" s="44">
        <f>AL497-AP497</f>
        <v>0.52</v>
      </c>
      <c r="AL497" s="33">
        <f t="shared" si="238"/>
        <v>0.62</v>
      </c>
      <c r="AM497" s="33">
        <f t="shared" si="238"/>
        <v>0.58</v>
      </c>
      <c r="AN497" s="33">
        <f t="shared" si="238"/>
        <v>0.48</v>
      </c>
      <c r="AO497" s="33">
        <f t="shared" si="238"/>
        <v>0.44</v>
      </c>
      <c r="AP497" s="33">
        <f t="shared" si="238"/>
        <v>0.1</v>
      </c>
      <c r="AQ497" s="140">
        <f>AVERAGE(AL497:AP497)</f>
        <v>0.44400000000000006</v>
      </c>
      <c r="AR497" s="25" t="s">
        <v>60</v>
      </c>
      <c r="AT497" s="28" t="s">
        <v>17</v>
      </c>
      <c r="AU497" s="28" t="s">
        <v>38</v>
      </c>
      <c r="AV497" s="28" t="s">
        <v>38</v>
      </c>
      <c r="AW497" s="114" t="s">
        <v>68</v>
      </c>
      <c r="AX497" s="114" t="s">
        <v>68</v>
      </c>
      <c r="AY497" s="114" t="s">
        <v>68</v>
      </c>
      <c r="AZ497" s="143" t="s">
        <v>38</v>
      </c>
      <c r="BB497" s="133" t="s">
        <v>62</v>
      </c>
      <c r="BC497" s="148">
        <f>BD497-BH497</f>
        <v>0.55</v>
      </c>
      <c r="BD497" s="133">
        <v>0.79</v>
      </c>
      <c r="BE497" s="133">
        <v>0.35</v>
      </c>
      <c r="BF497" s="149">
        <f t="shared" si="239"/>
        <v>0.3</v>
      </c>
      <c r="BG497" s="149">
        <f t="shared" si="239"/>
        <v>0.38</v>
      </c>
      <c r="BH497" s="149">
        <f t="shared" si="239"/>
        <v>0.24</v>
      </c>
      <c r="BI497" s="140">
        <f>AVERAGE(BD497:BH497)</f>
        <v>0.4120000000000001</v>
      </c>
    </row>
    <row r="498" spans="8:61" ht="12">
      <c r="H498" s="92"/>
      <c r="I498" s="92"/>
      <c r="J498" s="92"/>
      <c r="K498" s="93"/>
      <c r="L498" s="93"/>
      <c r="M498" s="93"/>
      <c r="N498" s="93"/>
      <c r="O498" s="93"/>
      <c r="P498" s="94"/>
      <c r="AA498" s="25" t="s">
        <v>61</v>
      </c>
      <c r="AB498" s="44">
        <f>AC498-AG498</f>
        <v>0.26</v>
      </c>
      <c r="AC498" s="25">
        <v>0.31</v>
      </c>
      <c r="AD498" s="25">
        <v>0.29</v>
      </c>
      <c r="AE498" s="25">
        <v>0.24</v>
      </c>
      <c r="AF498" s="25">
        <v>0.22</v>
      </c>
      <c r="AG498" s="25">
        <v>0.05</v>
      </c>
      <c r="AH498" s="140">
        <f>AVERAGE(AC498:AG498)</f>
        <v>0.22200000000000003</v>
      </c>
      <c r="AI498" s="25"/>
      <c r="AJ498" s="25"/>
      <c r="AK498" s="25"/>
      <c r="AL498" s="25"/>
      <c r="AM498" s="25"/>
      <c r="AN498" s="25"/>
      <c r="AO498" s="25"/>
      <c r="AP498" s="25"/>
      <c r="AQ498" s="137"/>
      <c r="AS498" s="25" t="s">
        <v>61</v>
      </c>
      <c r="AT498" s="44">
        <f>AU498-AY498</f>
        <v>0.67</v>
      </c>
      <c r="AU498" s="25">
        <v>0.79</v>
      </c>
      <c r="AV498" s="25">
        <v>0.36</v>
      </c>
      <c r="AW498" s="116">
        <v>0.15</v>
      </c>
      <c r="AX498" s="116">
        <v>0.19</v>
      </c>
      <c r="AY498" s="116">
        <v>0.12</v>
      </c>
      <c r="AZ498" s="140">
        <f>AVERAGE(AU498:AY498)</f>
        <v>0.32199999999999995</v>
      </c>
      <c r="BI498" s="137"/>
    </row>
    <row r="499" spans="8:61" ht="12">
      <c r="H499" s="88"/>
      <c r="I499" s="88"/>
      <c r="J499" s="88"/>
      <c r="K499" s="88"/>
      <c r="L499" s="88"/>
      <c r="M499" s="88"/>
      <c r="N499" s="88"/>
      <c r="O499" s="88"/>
      <c r="P499" s="89"/>
      <c r="Q499" s="22" t="s">
        <v>77</v>
      </c>
      <c r="T499" s="28" t="s">
        <v>71</v>
      </c>
      <c r="U499" s="28" t="s">
        <v>71</v>
      </c>
      <c r="V499" s="28" t="s">
        <v>71</v>
      </c>
      <c r="W499" s="28" t="s">
        <v>71</v>
      </c>
      <c r="X499" s="28" t="s">
        <v>71</v>
      </c>
      <c r="Y499" s="138" t="s">
        <v>71</v>
      </c>
      <c r="AA499" s="25" t="s">
        <v>62</v>
      </c>
      <c r="AB499" s="44">
        <f>AC499-AG499</f>
        <v>0.26</v>
      </c>
      <c r="AC499" s="25">
        <v>0.31</v>
      </c>
      <c r="AD499" s="25">
        <v>0.29</v>
      </c>
      <c r="AE499" s="25">
        <v>0.24</v>
      </c>
      <c r="AF499" s="25">
        <v>0.22</v>
      </c>
      <c r="AG499" s="25">
        <v>0.05</v>
      </c>
      <c r="AH499" s="140">
        <f>AVERAGE(AC499:AG499)</f>
        <v>0.22200000000000003</v>
      </c>
      <c r="AI499" s="22" t="s">
        <v>77</v>
      </c>
      <c r="AJ499" s="25"/>
      <c r="AK499" s="25"/>
      <c r="AL499" s="28" t="s">
        <v>71</v>
      </c>
      <c r="AM499" s="28" t="s">
        <v>71</v>
      </c>
      <c r="AN499" s="28" t="s">
        <v>71</v>
      </c>
      <c r="AO499" s="28" t="s">
        <v>71</v>
      </c>
      <c r="AP499" s="28" t="s">
        <v>71</v>
      </c>
      <c r="AQ499" s="138" t="s">
        <v>71</v>
      </c>
      <c r="AS499" s="25" t="s">
        <v>62</v>
      </c>
      <c r="AT499" s="44">
        <f>AU499-AY499</f>
        <v>0.67</v>
      </c>
      <c r="AU499" s="25">
        <v>0.79</v>
      </c>
      <c r="AV499" s="25">
        <v>0.35</v>
      </c>
      <c r="AW499" s="116">
        <v>0.15</v>
      </c>
      <c r="AX499" s="116">
        <v>0.19</v>
      </c>
      <c r="AY499" s="116">
        <v>0.12</v>
      </c>
      <c r="AZ499" s="140">
        <f>AVERAGE(AU499:AY499)</f>
        <v>0.32</v>
      </c>
      <c r="BA499" s="139" t="s">
        <v>77</v>
      </c>
      <c r="BD499" s="143" t="s">
        <v>71</v>
      </c>
      <c r="BE499" s="143" t="s">
        <v>71</v>
      </c>
      <c r="BF499" s="143" t="s">
        <v>71</v>
      </c>
      <c r="BG499" s="143" t="s">
        <v>71</v>
      </c>
      <c r="BH499" s="143" t="s">
        <v>71</v>
      </c>
      <c r="BI499" s="138" t="s">
        <v>71</v>
      </c>
    </row>
    <row r="500" spans="8:61" ht="12">
      <c r="H500" s="88"/>
      <c r="I500" s="88"/>
      <c r="J500" s="88"/>
      <c r="K500" s="93"/>
      <c r="L500" s="93"/>
      <c r="M500" s="93"/>
      <c r="N500" s="93"/>
      <c r="O500" s="93"/>
      <c r="P500" s="94"/>
      <c r="T500" s="28" t="s">
        <v>38</v>
      </c>
      <c r="U500" s="28" t="s">
        <v>38</v>
      </c>
      <c r="V500" s="28" t="s">
        <v>38</v>
      </c>
      <c r="W500" s="28" t="s">
        <v>38</v>
      </c>
      <c r="X500" s="28" t="s">
        <v>38</v>
      </c>
      <c r="Y500" s="143" t="s">
        <v>38</v>
      </c>
      <c r="AH500" s="137"/>
      <c r="AI500" s="25"/>
      <c r="AJ500" s="25"/>
      <c r="AK500" s="25"/>
      <c r="AL500" s="28" t="s">
        <v>38</v>
      </c>
      <c r="AM500" s="28" t="s">
        <v>38</v>
      </c>
      <c r="AN500" s="28" t="s">
        <v>38</v>
      </c>
      <c r="AO500" s="28" t="s">
        <v>38</v>
      </c>
      <c r="AP500" s="28" t="s">
        <v>38</v>
      </c>
      <c r="AQ500" s="143" t="s">
        <v>38</v>
      </c>
      <c r="AW500" s="116"/>
      <c r="AX500" s="116"/>
      <c r="AY500" s="116"/>
      <c r="AZ500" s="137"/>
      <c r="BD500" s="143" t="s">
        <v>38</v>
      </c>
      <c r="BE500" s="143" t="s">
        <v>38</v>
      </c>
      <c r="BF500" s="143" t="s">
        <v>38</v>
      </c>
      <c r="BG500" s="143" t="s">
        <v>38</v>
      </c>
      <c r="BH500" s="143" t="s">
        <v>38</v>
      </c>
      <c r="BI500" s="143" t="s">
        <v>38</v>
      </c>
    </row>
    <row r="501" spans="8:61" ht="12">
      <c r="H501" s="88" t="s">
        <v>60</v>
      </c>
      <c r="I501" s="88"/>
      <c r="J501" s="90" t="s">
        <v>17</v>
      </c>
      <c r="K501" s="90" t="s">
        <v>68</v>
      </c>
      <c r="L501" s="90" t="s">
        <v>68</v>
      </c>
      <c r="M501" s="90" t="s">
        <v>68</v>
      </c>
      <c r="N501" s="90" t="s">
        <v>68</v>
      </c>
      <c r="O501" s="90" t="s">
        <v>68</v>
      </c>
      <c r="P501" s="91" t="s">
        <v>68</v>
      </c>
      <c r="Q501" s="25" t="s">
        <v>79</v>
      </c>
      <c r="S501" s="132">
        <f>T501-X501</f>
        <v>768</v>
      </c>
      <c r="T501" s="42">
        <v>993</v>
      </c>
      <c r="U501" s="42">
        <v>-307</v>
      </c>
      <c r="V501" s="42">
        <v>-1023</v>
      </c>
      <c r="W501" s="42">
        <v>244</v>
      </c>
      <c r="X501" s="42">
        <v>225</v>
      </c>
      <c r="Y501" s="53">
        <f>AVERAGE(T501:X501)</f>
        <v>26.4</v>
      </c>
      <c r="Z501" s="22" t="s">
        <v>77</v>
      </c>
      <c r="AC501" s="28" t="s">
        <v>71</v>
      </c>
      <c r="AD501" s="28" t="s">
        <v>71</v>
      </c>
      <c r="AE501" s="28" t="s">
        <v>71</v>
      </c>
      <c r="AF501" s="28" t="s">
        <v>71</v>
      </c>
      <c r="AG501" s="28" t="s">
        <v>71</v>
      </c>
      <c r="AH501" s="138" t="s">
        <v>71</v>
      </c>
      <c r="AI501" s="25" t="s">
        <v>79</v>
      </c>
      <c r="AJ501" s="25"/>
      <c r="AK501" s="132">
        <f>AL501-AM501</f>
        <v>-678</v>
      </c>
      <c r="AL501" s="42">
        <f aca="true" t="shared" si="240" ref="AL501:AP503">2*AC503</f>
        <v>2192</v>
      </c>
      <c r="AM501" s="42">
        <f t="shared" si="240"/>
        <v>2870</v>
      </c>
      <c r="AN501" s="42">
        <f t="shared" si="240"/>
        <v>0</v>
      </c>
      <c r="AO501" s="42">
        <f t="shared" si="240"/>
        <v>0</v>
      </c>
      <c r="AP501" s="42">
        <f t="shared" si="240"/>
        <v>0</v>
      </c>
      <c r="AQ501" s="53">
        <f>AVERAGE(AL501:AP501)</f>
        <v>1012.4</v>
      </c>
      <c r="AR501" s="22" t="s">
        <v>77</v>
      </c>
      <c r="AU501" s="28" t="s">
        <v>71</v>
      </c>
      <c r="AV501" s="28" t="s">
        <v>71</v>
      </c>
      <c r="AW501" s="114" t="s">
        <v>71</v>
      </c>
      <c r="AX501" s="114" t="s">
        <v>71</v>
      </c>
      <c r="AY501" s="114" t="s">
        <v>71</v>
      </c>
      <c r="AZ501" s="138" t="s">
        <v>71</v>
      </c>
      <c r="BA501" s="133" t="s">
        <v>79</v>
      </c>
      <c r="BC501" s="146">
        <f>BD501-BE501</f>
        <v>103</v>
      </c>
      <c r="BD501" s="147">
        <v>372</v>
      </c>
      <c r="BE501" s="147">
        <v>269</v>
      </c>
      <c r="BF501" s="147">
        <f aca="true" t="shared" si="241" ref="BF501:BH503">2*AW503</f>
        <v>388</v>
      </c>
      <c r="BG501" s="147">
        <f t="shared" si="241"/>
        <v>318</v>
      </c>
      <c r="BH501" s="147">
        <f t="shared" si="241"/>
        <v>0</v>
      </c>
      <c r="BI501" s="53">
        <f>AVERAGE(BD501:BH501)</f>
        <v>269.4</v>
      </c>
    </row>
    <row r="502" spans="8:61" ht="12">
      <c r="H502" s="88"/>
      <c r="I502" s="88" t="s">
        <v>61</v>
      </c>
      <c r="J502" s="88"/>
      <c r="K502" s="88">
        <v>0.13</v>
      </c>
      <c r="L502" s="88">
        <v>0.06</v>
      </c>
      <c r="M502" s="88">
        <v>0.08</v>
      </c>
      <c r="N502" s="88"/>
      <c r="O502" s="88"/>
      <c r="P502" s="95">
        <f>AVERAGE(K502:O502)</f>
        <v>0.09000000000000001</v>
      </c>
      <c r="Q502" s="25" t="s">
        <v>80</v>
      </c>
      <c r="S502" s="132">
        <f>T502-X502</f>
        <v>748</v>
      </c>
      <c r="T502" s="42">
        <v>-361</v>
      </c>
      <c r="U502" s="42">
        <v>22</v>
      </c>
      <c r="V502" s="42">
        <v>-320</v>
      </c>
      <c r="W502" s="42">
        <v>-362</v>
      </c>
      <c r="X502" s="42">
        <v>-1109</v>
      </c>
      <c r="Y502" s="53">
        <f>AVERAGE(T502:X502)</f>
        <v>-426</v>
      </c>
      <c r="AC502" s="28" t="s">
        <v>68</v>
      </c>
      <c r="AD502" s="28" t="s">
        <v>68</v>
      </c>
      <c r="AE502" s="28" t="s">
        <v>68</v>
      </c>
      <c r="AF502" s="28" t="s">
        <v>68</v>
      </c>
      <c r="AG502" s="28" t="s">
        <v>68</v>
      </c>
      <c r="AH502" s="138" t="s">
        <v>68</v>
      </c>
      <c r="AI502" s="25" t="s">
        <v>80</v>
      </c>
      <c r="AJ502" s="25"/>
      <c r="AK502" s="132">
        <f>AL502-AM502</f>
        <v>-1012</v>
      </c>
      <c r="AL502" s="42">
        <f t="shared" si="240"/>
        <v>-506</v>
      </c>
      <c r="AM502" s="42">
        <f t="shared" si="240"/>
        <v>506</v>
      </c>
      <c r="AN502" s="42">
        <f t="shared" si="240"/>
        <v>0</v>
      </c>
      <c r="AO502" s="42">
        <f t="shared" si="240"/>
        <v>0</v>
      </c>
      <c r="AP502" s="42">
        <f t="shared" si="240"/>
        <v>0</v>
      </c>
      <c r="AQ502" s="53">
        <f>AVERAGE(AL502:AP502)</f>
        <v>0</v>
      </c>
      <c r="AU502" s="28" t="s">
        <v>38</v>
      </c>
      <c r="AV502" s="28" t="s">
        <v>38</v>
      </c>
      <c r="AW502" s="114" t="s">
        <v>68</v>
      </c>
      <c r="AX502" s="114" t="s">
        <v>68</v>
      </c>
      <c r="AY502" s="114" t="s">
        <v>68</v>
      </c>
      <c r="AZ502" s="143" t="s">
        <v>38</v>
      </c>
      <c r="BA502" s="133" t="s">
        <v>80</v>
      </c>
      <c r="BC502" s="146">
        <f>BD502-BE502</f>
        <v>432</v>
      </c>
      <c r="BD502" s="147">
        <v>232</v>
      </c>
      <c r="BE502" s="147">
        <v>-200</v>
      </c>
      <c r="BF502" s="147">
        <f t="shared" si="241"/>
        <v>-244</v>
      </c>
      <c r="BG502" s="147">
        <f t="shared" si="241"/>
        <v>-34</v>
      </c>
      <c r="BH502" s="147">
        <f t="shared" si="241"/>
        <v>0</v>
      </c>
      <c r="BI502" s="53">
        <f>AVERAGE(BD502:BH502)</f>
        <v>-49.2</v>
      </c>
    </row>
    <row r="503" spans="8:61" ht="12">
      <c r="H503" s="88"/>
      <c r="I503" s="88" t="s">
        <v>62</v>
      </c>
      <c r="J503" s="88"/>
      <c r="K503" s="88">
        <v>0.13</v>
      </c>
      <c r="L503" s="88">
        <v>0.06</v>
      </c>
      <c r="M503" s="88">
        <v>0.08</v>
      </c>
      <c r="N503" s="88"/>
      <c r="O503" s="88"/>
      <c r="P503" s="95">
        <f>AVERAGE(K503:O503)</f>
        <v>0.09000000000000001</v>
      </c>
      <c r="Q503" s="25" t="s">
        <v>75</v>
      </c>
      <c r="S503" s="132">
        <f>T503-X503</f>
        <v>-1189</v>
      </c>
      <c r="T503" s="42">
        <v>-606</v>
      </c>
      <c r="U503" s="42">
        <v>830</v>
      </c>
      <c r="V503" s="42">
        <v>636</v>
      </c>
      <c r="W503" s="42">
        <v>548</v>
      </c>
      <c r="X503" s="42">
        <v>583</v>
      </c>
      <c r="Y503" s="53">
        <f>AVERAGE(T503:X503)</f>
        <v>398.2</v>
      </c>
      <c r="Z503" s="25" t="s">
        <v>79</v>
      </c>
      <c r="AB503" s="132">
        <f>AC503-AD503</f>
        <v>-339</v>
      </c>
      <c r="AC503" s="42">
        <v>1096</v>
      </c>
      <c r="AD503" s="42">
        <v>1435</v>
      </c>
      <c r="AE503" s="42"/>
      <c r="AF503" s="42"/>
      <c r="AG503" s="42"/>
      <c r="AH503" s="53">
        <f>AVERAGE(AC503:AG503)</f>
        <v>1265.5</v>
      </c>
      <c r="AI503" s="25" t="s">
        <v>75</v>
      </c>
      <c r="AJ503" s="25"/>
      <c r="AK503" s="132">
        <f>AL503-AM503</f>
        <v>2306</v>
      </c>
      <c r="AL503" s="42">
        <f t="shared" si="240"/>
        <v>-1422</v>
      </c>
      <c r="AM503" s="42">
        <f t="shared" si="240"/>
        <v>-3728</v>
      </c>
      <c r="AN503" s="42">
        <f t="shared" si="240"/>
        <v>0</v>
      </c>
      <c r="AO503" s="42">
        <f t="shared" si="240"/>
        <v>0</v>
      </c>
      <c r="AP503" s="42">
        <f t="shared" si="240"/>
        <v>0</v>
      </c>
      <c r="AQ503" s="53">
        <f>AVERAGE(AL503:AP503)</f>
        <v>-1030</v>
      </c>
      <c r="AR503" s="25" t="s">
        <v>79</v>
      </c>
      <c r="AT503" s="132">
        <f>AU503-AY503</f>
        <v>372</v>
      </c>
      <c r="AU503" s="42">
        <v>372</v>
      </c>
      <c r="AV503" s="42">
        <v>269</v>
      </c>
      <c r="AW503" s="115">
        <v>194</v>
      </c>
      <c r="AX503" s="115">
        <v>159</v>
      </c>
      <c r="AY503" s="115"/>
      <c r="AZ503" s="53">
        <f>AVERAGE(AU503:AY503)</f>
        <v>248.5</v>
      </c>
      <c r="BA503" s="133" t="s">
        <v>75</v>
      </c>
      <c r="BC503" s="146">
        <f>BD503-BE503</f>
        <v>-341</v>
      </c>
      <c r="BD503" s="147">
        <v>-383</v>
      </c>
      <c r="BE503" s="147">
        <v>-42</v>
      </c>
      <c r="BF503" s="147">
        <f t="shared" si="241"/>
        <v>-128</v>
      </c>
      <c r="BG503" s="147">
        <f t="shared" si="241"/>
        <v>-276</v>
      </c>
      <c r="BH503" s="147">
        <f t="shared" si="241"/>
        <v>0</v>
      </c>
      <c r="BI503" s="53">
        <f>AVERAGE(BD503:BH503)</f>
        <v>-165.8</v>
      </c>
    </row>
    <row r="504" spans="8:61" ht="12">
      <c r="H504" s="88"/>
      <c r="I504" s="88"/>
      <c r="J504" s="88"/>
      <c r="K504" s="88"/>
      <c r="L504" s="88"/>
      <c r="M504" s="88"/>
      <c r="N504" s="88"/>
      <c r="O504" s="88"/>
      <c r="P504" s="89"/>
      <c r="Q504" s="25" t="s">
        <v>64</v>
      </c>
      <c r="S504" s="132">
        <f>T504-X504</f>
        <v>294</v>
      </c>
      <c r="T504" s="42">
        <v>2034</v>
      </c>
      <c r="U504" s="42">
        <v>2008</v>
      </c>
      <c r="V504" s="42">
        <v>1463</v>
      </c>
      <c r="W504" s="42">
        <v>2170</v>
      </c>
      <c r="X504" s="42">
        <v>1740</v>
      </c>
      <c r="Y504" s="53">
        <f>AVERAGE(T504:X504)</f>
        <v>1883</v>
      </c>
      <c r="Z504" s="25" t="s">
        <v>80</v>
      </c>
      <c r="AB504" s="132">
        <f>AC504-AD504</f>
        <v>-506</v>
      </c>
      <c r="AC504" s="42">
        <v>-253</v>
      </c>
      <c r="AD504" s="42">
        <v>253</v>
      </c>
      <c r="AE504" s="42"/>
      <c r="AF504" s="42"/>
      <c r="AG504" s="42"/>
      <c r="AH504" s="53">
        <f>AVERAGE(AC504:AG504)</f>
        <v>0</v>
      </c>
      <c r="AI504" s="25" t="s">
        <v>64</v>
      </c>
      <c r="AJ504" s="25"/>
      <c r="AK504" s="132">
        <f>AL504-AM504</f>
        <v>266</v>
      </c>
      <c r="AL504" s="42">
        <f>2*AC507</f>
        <v>564</v>
      </c>
      <c r="AM504" s="42">
        <f>2*AD507</f>
        <v>298</v>
      </c>
      <c r="AN504" s="42">
        <f>2*AE507</f>
        <v>0</v>
      </c>
      <c r="AO504" s="42">
        <f>2*AF507</f>
        <v>0</v>
      </c>
      <c r="AP504" s="42">
        <f>2*AG507</f>
        <v>0</v>
      </c>
      <c r="AQ504" s="53">
        <f>AVERAGE(AL504:AP504)</f>
        <v>172.4</v>
      </c>
      <c r="AR504" s="25" t="s">
        <v>80</v>
      </c>
      <c r="AT504" s="132">
        <f>AU504-AY504</f>
        <v>232</v>
      </c>
      <c r="AU504" s="42">
        <v>232</v>
      </c>
      <c r="AV504" s="42">
        <v>-200</v>
      </c>
      <c r="AW504" s="115">
        <v>-122</v>
      </c>
      <c r="AX504" s="115">
        <v>-17</v>
      </c>
      <c r="AY504" s="115"/>
      <c r="AZ504" s="53">
        <f>AVERAGE(AU504:AY504)</f>
        <v>-26.75</v>
      </c>
      <c r="BA504" s="133" t="s">
        <v>64</v>
      </c>
      <c r="BC504" s="146">
        <f>BD504-BE504</f>
        <v>226</v>
      </c>
      <c r="BD504" s="147">
        <v>291</v>
      </c>
      <c r="BE504" s="147">
        <v>65</v>
      </c>
      <c r="BF504" s="147">
        <f>2*AW507</f>
        <v>46</v>
      </c>
      <c r="BG504" s="147">
        <f>2*AX507</f>
        <v>28</v>
      </c>
      <c r="BH504" s="147">
        <f>2*AY507</f>
        <v>0</v>
      </c>
      <c r="BI504" s="53">
        <f>AVERAGE(BD504:BH504)</f>
        <v>86</v>
      </c>
    </row>
    <row r="505" spans="8:61" ht="12">
      <c r="H505" s="92" t="s">
        <v>77</v>
      </c>
      <c r="I505" s="88"/>
      <c r="J505" s="88"/>
      <c r="K505" s="90" t="s">
        <v>71</v>
      </c>
      <c r="L505" s="90" t="s">
        <v>71</v>
      </c>
      <c r="M505" s="90" t="s">
        <v>71</v>
      </c>
      <c r="N505" s="90" t="s">
        <v>71</v>
      </c>
      <c r="O505" s="90" t="s">
        <v>71</v>
      </c>
      <c r="P505" s="91" t="s">
        <v>71</v>
      </c>
      <c r="Z505" s="25" t="s">
        <v>75</v>
      </c>
      <c r="AB505" s="132">
        <f>AC505-AD505</f>
        <v>1153</v>
      </c>
      <c r="AC505" s="42">
        <v>-711</v>
      </c>
      <c r="AD505" s="42">
        <v>-1864</v>
      </c>
      <c r="AE505" s="42"/>
      <c r="AF505" s="42"/>
      <c r="AG505" s="42"/>
      <c r="AH505" s="53">
        <f>AVERAGE(AC505:AG505)</f>
        <v>-1287.5</v>
      </c>
      <c r="AI505" s="25"/>
      <c r="AJ505" s="25"/>
      <c r="AK505" s="25"/>
      <c r="AL505" s="25"/>
      <c r="AM505" s="25"/>
      <c r="AN505" s="25"/>
      <c r="AO505" s="25"/>
      <c r="AP505" s="25"/>
      <c r="AQ505" s="137"/>
      <c r="AR505" s="25" t="s">
        <v>75</v>
      </c>
      <c r="AT505" s="132">
        <f>AU505-AY505</f>
        <v>-383</v>
      </c>
      <c r="AU505" s="42">
        <v>-383</v>
      </c>
      <c r="AV505" s="42">
        <v>-42</v>
      </c>
      <c r="AW505" s="115">
        <v>-64</v>
      </c>
      <c r="AX505" s="115">
        <v>-138</v>
      </c>
      <c r="AY505" s="115"/>
      <c r="AZ505" s="53">
        <f>AVERAGE(AU505:AY505)</f>
        <v>-156.75</v>
      </c>
      <c r="BI505" s="137"/>
    </row>
    <row r="506" spans="8:61" ht="12">
      <c r="H506" s="88"/>
      <c r="I506" s="88"/>
      <c r="J506" s="88"/>
      <c r="K506" s="90" t="s">
        <v>68</v>
      </c>
      <c r="L506" s="90" t="s">
        <v>68</v>
      </c>
      <c r="M506" s="90" t="s">
        <v>68</v>
      </c>
      <c r="N506" s="90" t="s">
        <v>68</v>
      </c>
      <c r="O506" s="90" t="s">
        <v>68</v>
      </c>
      <c r="P506" s="91" t="s">
        <v>68</v>
      </c>
      <c r="Q506" s="139" t="s">
        <v>282</v>
      </c>
      <c r="R506" s="133"/>
      <c r="S506" s="133"/>
      <c r="T506" s="28" t="s">
        <v>71</v>
      </c>
      <c r="U506" s="28" t="s">
        <v>71</v>
      </c>
      <c r="V506" s="28" t="s">
        <v>71</v>
      </c>
      <c r="W506" s="28" t="s">
        <v>71</v>
      </c>
      <c r="X506" s="28" t="s">
        <v>71</v>
      </c>
      <c r="Y506" s="138" t="s">
        <v>71</v>
      </c>
      <c r="Z506" s="25" t="s">
        <v>63</v>
      </c>
      <c r="AB506" s="132">
        <f>AC506-AD506</f>
        <v>-175</v>
      </c>
      <c r="AC506" s="42">
        <v>149</v>
      </c>
      <c r="AD506" s="42">
        <v>324</v>
      </c>
      <c r="AE506" s="42"/>
      <c r="AF506" s="42"/>
      <c r="AG506" s="42"/>
      <c r="AH506" s="53">
        <f>AVERAGE(AC506:AG506)</f>
        <v>236.5</v>
      </c>
      <c r="AI506" s="139" t="s">
        <v>282</v>
      </c>
      <c r="AL506" s="28" t="s">
        <v>71</v>
      </c>
      <c r="AM506" s="28" t="s">
        <v>71</v>
      </c>
      <c r="AN506" s="28" t="s">
        <v>71</v>
      </c>
      <c r="AO506" s="28" t="s">
        <v>71</v>
      </c>
      <c r="AP506" s="28" t="s">
        <v>71</v>
      </c>
      <c r="AQ506" s="138" t="s">
        <v>71</v>
      </c>
      <c r="AR506" s="25" t="s">
        <v>63</v>
      </c>
      <c r="AT506" s="132">
        <f>AU506-AY506</f>
        <v>65</v>
      </c>
      <c r="AU506" s="42">
        <v>65</v>
      </c>
      <c r="AV506" s="42">
        <v>44</v>
      </c>
      <c r="AW506" s="115">
        <v>14</v>
      </c>
      <c r="AX506" s="115">
        <v>10</v>
      </c>
      <c r="AY506" s="115"/>
      <c r="AZ506" s="53">
        <f>AVERAGE(AU506:AY506)</f>
        <v>33.25</v>
      </c>
      <c r="BA506" s="139" t="s">
        <v>282</v>
      </c>
      <c r="BD506" s="28" t="s">
        <v>71</v>
      </c>
      <c r="BE506" s="28" t="s">
        <v>71</v>
      </c>
      <c r="BF506" s="28" t="s">
        <v>71</v>
      </c>
      <c r="BG506" s="28" t="s">
        <v>71</v>
      </c>
      <c r="BH506" s="28" t="s">
        <v>71</v>
      </c>
      <c r="BI506" s="138" t="s">
        <v>71</v>
      </c>
    </row>
    <row r="507" spans="8:61" ht="12">
      <c r="H507" s="88" t="s">
        <v>79</v>
      </c>
      <c r="I507" s="88"/>
      <c r="J507" s="96"/>
      <c r="K507" s="93">
        <v>1412</v>
      </c>
      <c r="L507" s="93">
        <v>-638</v>
      </c>
      <c r="M507" s="93">
        <v>1012</v>
      </c>
      <c r="N507" s="93"/>
      <c r="O507" s="93"/>
      <c r="P507" s="94">
        <f>AVERAGE(K507:O507)</f>
        <v>595.3333333333334</v>
      </c>
      <c r="Q507" s="133"/>
      <c r="R507" s="133"/>
      <c r="S507" s="133"/>
      <c r="T507" s="28" t="s">
        <v>38</v>
      </c>
      <c r="U507" s="28" t="s">
        <v>38</v>
      </c>
      <c r="V507" s="28" t="s">
        <v>38</v>
      </c>
      <c r="W507" s="28" t="s">
        <v>38</v>
      </c>
      <c r="X507" s="28" t="s">
        <v>38</v>
      </c>
      <c r="Y507" s="143" t="s">
        <v>38</v>
      </c>
      <c r="Z507" s="25" t="s">
        <v>64</v>
      </c>
      <c r="AB507" s="132">
        <f>AC507-AD507</f>
        <v>133</v>
      </c>
      <c r="AC507" s="42">
        <v>282</v>
      </c>
      <c r="AD507" s="42">
        <v>149</v>
      </c>
      <c r="AE507" s="42"/>
      <c r="AF507" s="42"/>
      <c r="AG507" s="42"/>
      <c r="AH507" s="53">
        <f>AVERAGE(AC507:AG507)</f>
        <v>215.5</v>
      </c>
      <c r="AL507" s="28" t="s">
        <v>38</v>
      </c>
      <c r="AM507" s="28" t="s">
        <v>38</v>
      </c>
      <c r="AN507" s="28" t="s">
        <v>38</v>
      </c>
      <c r="AO507" s="28" t="s">
        <v>38</v>
      </c>
      <c r="AP507" s="28" t="s">
        <v>38</v>
      </c>
      <c r="AQ507" s="143" t="s">
        <v>38</v>
      </c>
      <c r="AR507" s="25" t="s">
        <v>64</v>
      </c>
      <c r="AT507" s="132">
        <f>AU507-AY507</f>
        <v>291</v>
      </c>
      <c r="AU507" s="42">
        <v>291</v>
      </c>
      <c r="AV507" s="42">
        <v>65</v>
      </c>
      <c r="AW507" s="115">
        <v>23</v>
      </c>
      <c r="AX507" s="115">
        <v>14</v>
      </c>
      <c r="AY507" s="115"/>
      <c r="AZ507" s="53">
        <f>AVERAGE(AU507:AY507)</f>
        <v>98.25</v>
      </c>
      <c r="BD507" s="28" t="s">
        <v>38</v>
      </c>
      <c r="BE507" s="28" t="s">
        <v>38</v>
      </c>
      <c r="BF507" s="28" t="s">
        <v>38</v>
      </c>
      <c r="BG507" s="28" t="s">
        <v>38</v>
      </c>
      <c r="BH507" s="28" t="s">
        <v>38</v>
      </c>
      <c r="BI507" s="143" t="s">
        <v>38</v>
      </c>
    </row>
    <row r="508" spans="8:61" ht="12">
      <c r="H508" s="88" t="s">
        <v>80</v>
      </c>
      <c r="I508" s="88"/>
      <c r="J508" s="96"/>
      <c r="K508" s="93">
        <v>26</v>
      </c>
      <c r="L508" s="93">
        <v>624</v>
      </c>
      <c r="M508" s="93">
        <v>-236</v>
      </c>
      <c r="N508" s="93"/>
      <c r="O508" s="93"/>
      <c r="P508" s="94">
        <f>AVERAGE(K508:O508)</f>
        <v>138</v>
      </c>
      <c r="Q508" s="25" t="s">
        <v>283</v>
      </c>
      <c r="R508" s="22"/>
      <c r="S508" s="132">
        <f>T508-X508</f>
        <v>-1865</v>
      </c>
      <c r="T508" s="42">
        <v>227</v>
      </c>
      <c r="U508" s="42">
        <v>227</v>
      </c>
      <c r="V508" s="42">
        <v>227</v>
      </c>
      <c r="W508" s="42">
        <v>2092</v>
      </c>
      <c r="X508" s="42">
        <v>2092</v>
      </c>
      <c r="Y508" s="53">
        <f>AVERAGE(T508:X508)</f>
        <v>973</v>
      </c>
      <c r="AH508" s="137"/>
      <c r="AI508" s="25" t="s">
        <v>283</v>
      </c>
      <c r="AJ508" s="22"/>
      <c r="AK508" s="132">
        <f>AL508-AN508</f>
        <v>264</v>
      </c>
      <c r="AL508" s="42">
        <v>328</v>
      </c>
      <c r="AM508" s="42">
        <v>330</v>
      </c>
      <c r="AN508" s="42">
        <v>64</v>
      </c>
      <c r="AO508" s="42"/>
      <c r="AP508" s="42"/>
      <c r="AQ508" s="53">
        <f>AVERAGE(AL508:AP508)</f>
        <v>240.66666666666666</v>
      </c>
      <c r="AW508" s="116"/>
      <c r="AX508" s="116"/>
      <c r="AY508" s="116"/>
      <c r="AZ508" s="137"/>
      <c r="BA508" s="25" t="s">
        <v>283</v>
      </c>
      <c r="BB508" s="22"/>
      <c r="BC508" s="132">
        <f>BD508-BH508</f>
        <v>1</v>
      </c>
      <c r="BD508" s="42">
        <v>635</v>
      </c>
      <c r="BE508" s="42">
        <v>673</v>
      </c>
      <c r="BF508" s="42">
        <v>750</v>
      </c>
      <c r="BG508" s="42">
        <v>574</v>
      </c>
      <c r="BH508" s="42">
        <v>634</v>
      </c>
      <c r="BI508" s="53">
        <f>AVERAGE(BD508:BH508)</f>
        <v>653.2</v>
      </c>
    </row>
    <row r="509" spans="8:61" ht="12">
      <c r="H509" s="88" t="s">
        <v>75</v>
      </c>
      <c r="I509" s="88"/>
      <c r="J509" s="96"/>
      <c r="K509" s="93">
        <v>-385</v>
      </c>
      <c r="L509" s="93">
        <v>440</v>
      </c>
      <c r="M509" s="93">
        <v>420</v>
      </c>
      <c r="N509" s="93"/>
      <c r="O509" s="93"/>
      <c r="P509" s="94">
        <f>AVERAGE(K509:O509)</f>
        <v>158.33333333333334</v>
      </c>
      <c r="Q509" s="133" t="s">
        <v>284</v>
      </c>
      <c r="R509" s="133"/>
      <c r="S509" s="132">
        <f>T509-X509</f>
        <v>-3551</v>
      </c>
      <c r="T509" s="42">
        <v>12973</v>
      </c>
      <c r="U509" s="42">
        <v>14280</v>
      </c>
      <c r="V509" s="42">
        <v>16556</v>
      </c>
      <c r="W509" s="42">
        <v>16752</v>
      </c>
      <c r="X509" s="42">
        <v>16524</v>
      </c>
      <c r="Y509" s="53">
        <f>AVERAGE(T509:X509)</f>
        <v>15417</v>
      </c>
      <c r="AC509" s="28" t="s">
        <v>71</v>
      </c>
      <c r="AD509" s="28" t="s">
        <v>71</v>
      </c>
      <c r="AE509" s="28" t="s">
        <v>71</v>
      </c>
      <c r="AF509" s="28" t="s">
        <v>71</v>
      </c>
      <c r="AG509" s="28" t="s">
        <v>71</v>
      </c>
      <c r="AH509" s="138" t="s">
        <v>71</v>
      </c>
      <c r="AI509" s="133" t="s">
        <v>284</v>
      </c>
      <c r="AK509" s="132">
        <f>AL509-AP509</f>
        <v>390</v>
      </c>
      <c r="AL509" s="42">
        <v>7152</v>
      </c>
      <c r="AM509" s="42">
        <v>6632</v>
      </c>
      <c r="AN509" s="42">
        <v>6996</v>
      </c>
      <c r="AO509" s="42">
        <v>6870</v>
      </c>
      <c r="AP509" s="42">
        <v>6762</v>
      </c>
      <c r="AQ509" s="53">
        <f>AVERAGE(AL509:AP509)</f>
        <v>6882.4</v>
      </c>
      <c r="AU509" s="28" t="s">
        <v>71</v>
      </c>
      <c r="AV509" s="28" t="s">
        <v>71</v>
      </c>
      <c r="AW509" s="114" t="s">
        <v>71</v>
      </c>
      <c r="AX509" s="114" t="s">
        <v>71</v>
      </c>
      <c r="AY509" s="114" t="s">
        <v>71</v>
      </c>
      <c r="AZ509" s="138" t="s">
        <v>71</v>
      </c>
      <c r="BA509" s="133" t="s">
        <v>284</v>
      </c>
      <c r="BC509" s="132">
        <f>BD509-BH509</f>
        <v>259</v>
      </c>
      <c r="BD509" s="133">
        <v>831</v>
      </c>
      <c r="BE509" s="133">
        <v>673</v>
      </c>
      <c r="BF509" s="42">
        <v>580</v>
      </c>
      <c r="BG509" s="42">
        <v>532</v>
      </c>
      <c r="BH509" s="42">
        <v>572</v>
      </c>
      <c r="BI509" s="53">
        <f>AVERAGE(BD509:BH509)</f>
        <v>637.6</v>
      </c>
    </row>
    <row r="510" spans="8:61" ht="12">
      <c r="H510" s="88" t="s">
        <v>63</v>
      </c>
      <c r="I510" s="88"/>
      <c r="J510" s="96"/>
      <c r="K510" s="93">
        <v>2614</v>
      </c>
      <c r="L510" s="93">
        <v>2249</v>
      </c>
      <c r="M510" s="93">
        <v>1071</v>
      </c>
      <c r="N510" s="93"/>
      <c r="O510" s="93"/>
      <c r="P510" s="94">
        <f>AVERAGE(K510:O510)</f>
        <v>1978</v>
      </c>
      <c r="R510" s="22"/>
      <c r="S510" s="132"/>
      <c r="T510" s="42"/>
      <c r="U510" s="42"/>
      <c r="V510" s="42"/>
      <c r="W510" s="42"/>
      <c r="X510" s="42"/>
      <c r="Y510" s="53"/>
      <c r="Z510" s="22"/>
      <c r="AA510" s="22"/>
      <c r="AB510" s="22"/>
      <c r="AC510" s="28" t="s">
        <v>68</v>
      </c>
      <c r="AD510" s="28" t="s">
        <v>68</v>
      </c>
      <c r="AE510" s="28" t="s">
        <v>68</v>
      </c>
      <c r="AF510" s="28" t="s">
        <v>68</v>
      </c>
      <c r="AG510" s="28" t="s">
        <v>68</v>
      </c>
      <c r="AH510" s="138" t="s">
        <v>68</v>
      </c>
      <c r="AI510" s="25"/>
      <c r="AJ510" s="22"/>
      <c r="AK510" s="132"/>
      <c r="AL510" s="25"/>
      <c r="AM510" s="25"/>
      <c r="AN510" s="25"/>
      <c r="AO510" s="25"/>
      <c r="AP510" s="25"/>
      <c r="AQ510" s="53"/>
      <c r="AR510" s="22"/>
      <c r="AS510" s="22"/>
      <c r="AT510" s="22"/>
      <c r="AU510" s="28" t="s">
        <v>38</v>
      </c>
      <c r="AV510" s="28" t="s">
        <v>38</v>
      </c>
      <c r="AW510" s="114" t="s">
        <v>68</v>
      </c>
      <c r="AX510" s="114" t="s">
        <v>68</v>
      </c>
      <c r="AY510" s="114" t="s">
        <v>68</v>
      </c>
      <c r="AZ510" s="143" t="s">
        <v>38</v>
      </c>
      <c r="BA510" s="25"/>
      <c r="BB510" s="22"/>
      <c r="BC510" s="132"/>
      <c r="BI510" s="53"/>
    </row>
    <row r="511" spans="8:52" ht="12">
      <c r="H511" s="88" t="s">
        <v>64</v>
      </c>
      <c r="I511" s="88"/>
      <c r="J511" s="96"/>
      <c r="K511" s="93">
        <v>3581</v>
      </c>
      <c r="L511" s="93">
        <v>2614</v>
      </c>
      <c r="M511" s="93">
        <v>2249</v>
      </c>
      <c r="N511" s="93"/>
      <c r="O511" s="93"/>
      <c r="P511" s="94">
        <f>AVERAGE(K511:O511)</f>
        <v>2814.6666666666665</v>
      </c>
      <c r="Z511" s="22" t="s">
        <v>102</v>
      </c>
      <c r="AB511" s="132">
        <f>AC511-AG511</f>
        <v>-2248</v>
      </c>
      <c r="AC511" s="42">
        <f>AC483-AC484</f>
        <v>3194</v>
      </c>
      <c r="AD511" s="42">
        <f>AD483-AD484</f>
        <v>3630</v>
      </c>
      <c r="AE511" s="42">
        <f>AE483-AE484</f>
        <v>6191</v>
      </c>
      <c r="AF511" s="42">
        <f>AF483-AF484</f>
        <v>5000</v>
      </c>
      <c r="AG511" s="42">
        <f>AG483-AG484</f>
        <v>5442</v>
      </c>
      <c r="AH511" s="53">
        <f>AVERAGE(AC511:AG511)</f>
        <v>4691.4</v>
      </c>
      <c r="AR511" s="22" t="s">
        <v>102</v>
      </c>
      <c r="AT511" s="132">
        <f>AU511-AY511</f>
        <v>1639</v>
      </c>
      <c r="AU511" s="42">
        <f>AU483-AU484</f>
        <v>2415</v>
      </c>
      <c r="AV511" s="42">
        <f>AV483-AV484</f>
        <v>1964</v>
      </c>
      <c r="AW511" s="115">
        <f>AW483-AW484</f>
        <v>1090</v>
      </c>
      <c r="AX511" s="115">
        <f>AX483-AX484</f>
        <v>907</v>
      </c>
      <c r="AY511" s="115">
        <f>AY483-AY484</f>
        <v>776</v>
      </c>
      <c r="AZ511" s="53">
        <f>AVERAGE(AU511:AY511)</f>
        <v>1430.4</v>
      </c>
    </row>
    <row r="512" spans="8:52" ht="12">
      <c r="H512" s="88"/>
      <c r="I512" s="88"/>
      <c r="J512" s="88"/>
      <c r="K512" s="88"/>
      <c r="L512" s="88"/>
      <c r="M512" s="88"/>
      <c r="N512" s="88"/>
      <c r="O512" s="88"/>
      <c r="P512" s="89"/>
      <c r="Z512" s="22" t="s">
        <v>104</v>
      </c>
      <c r="AB512" s="132">
        <f>AC512-AG512</f>
        <v>1911</v>
      </c>
      <c r="AC512" s="42">
        <f>AC488-AC511</f>
        <v>4604</v>
      </c>
      <c r="AD512" s="42">
        <f>AD488-AD511</f>
        <v>3861</v>
      </c>
      <c r="AE512" s="42">
        <f>AE488-AE511</f>
        <v>2110</v>
      </c>
      <c r="AF512" s="42">
        <f>AF488-AF511</f>
        <v>3019</v>
      </c>
      <c r="AG512" s="42">
        <f>AG488-AG511</f>
        <v>2693</v>
      </c>
      <c r="AH512" s="53">
        <f>AVERAGE(AC512:AG512)</f>
        <v>3257.4</v>
      </c>
      <c r="AR512" s="22" t="s">
        <v>104</v>
      </c>
      <c r="AT512" s="132">
        <f>AU512-AY512</f>
        <v>56</v>
      </c>
      <c r="AU512" s="42">
        <f>AU488-AU511</f>
        <v>364</v>
      </c>
      <c r="AV512" s="42">
        <f>AV488-AV511</f>
        <v>588</v>
      </c>
      <c r="AW512" s="115">
        <f>AW488-AW511</f>
        <v>159</v>
      </c>
      <c r="AX512" s="115">
        <f>AX488-AX511</f>
        <v>272</v>
      </c>
      <c r="AY512" s="115">
        <f>AY488-AY511</f>
        <v>308</v>
      </c>
      <c r="AZ512" s="53">
        <f>AVERAGE(AU512:AY512)</f>
        <v>338.2</v>
      </c>
    </row>
    <row r="513" spans="8:61" ht="12">
      <c r="H513" s="88"/>
      <c r="I513" s="88"/>
      <c r="J513" s="88"/>
      <c r="K513" s="90" t="s">
        <v>71</v>
      </c>
      <c r="L513" s="90" t="s">
        <v>71</v>
      </c>
      <c r="M513" s="90" t="s">
        <v>71</v>
      </c>
      <c r="N513" s="90" t="s">
        <v>71</v>
      </c>
      <c r="O513" s="90" t="s">
        <v>71</v>
      </c>
      <c r="P513" s="91" t="s">
        <v>71</v>
      </c>
      <c r="T513" s="28" t="s">
        <v>71</v>
      </c>
      <c r="U513" s="28" t="s">
        <v>71</v>
      </c>
      <c r="V513" s="28" t="s">
        <v>71</v>
      </c>
      <c r="W513" s="28" t="s">
        <v>71</v>
      </c>
      <c r="X513" s="28" t="s">
        <v>71</v>
      </c>
      <c r="Y513" s="138" t="s">
        <v>71</v>
      </c>
      <c r="Z513" s="22"/>
      <c r="AC513" s="33"/>
      <c r="AD513" s="33"/>
      <c r="AE513" s="33"/>
      <c r="AF513" s="33"/>
      <c r="AG513" s="33"/>
      <c r="AH513" s="140"/>
      <c r="AI513" s="25"/>
      <c r="AJ513" s="25"/>
      <c r="AK513" s="25"/>
      <c r="AL513" s="28" t="s">
        <v>71</v>
      </c>
      <c r="AM513" s="28" t="s">
        <v>71</v>
      </c>
      <c r="AN513" s="28" t="s">
        <v>71</v>
      </c>
      <c r="AO513" s="28" t="s">
        <v>71</v>
      </c>
      <c r="AP513" s="28" t="s">
        <v>71</v>
      </c>
      <c r="AQ513" s="138" t="s">
        <v>71</v>
      </c>
      <c r="AR513" s="22"/>
      <c r="AU513" s="33"/>
      <c r="AV513" s="33"/>
      <c r="AW513" s="117"/>
      <c r="AX513" s="117"/>
      <c r="AY513" s="117"/>
      <c r="AZ513" s="140"/>
      <c r="BD513" s="143" t="s">
        <v>71</v>
      </c>
      <c r="BE513" s="143" t="s">
        <v>71</v>
      </c>
      <c r="BF513" s="143" t="s">
        <v>71</v>
      </c>
      <c r="BG513" s="143" t="s">
        <v>71</v>
      </c>
      <c r="BH513" s="143" t="s">
        <v>71</v>
      </c>
      <c r="BI513" s="138" t="s">
        <v>71</v>
      </c>
    </row>
    <row r="514" spans="8:61" ht="12">
      <c r="H514" s="92"/>
      <c r="I514" s="92"/>
      <c r="J514" s="92"/>
      <c r="K514" s="90" t="s">
        <v>68</v>
      </c>
      <c r="L514" s="90" t="s">
        <v>68</v>
      </c>
      <c r="M514" s="90" t="s">
        <v>68</v>
      </c>
      <c r="N514" s="90" t="s">
        <v>68</v>
      </c>
      <c r="O514" s="90" t="s">
        <v>68</v>
      </c>
      <c r="P514" s="91" t="s">
        <v>68</v>
      </c>
      <c r="Q514" s="22"/>
      <c r="R514" s="22"/>
      <c r="S514" s="22"/>
      <c r="T514" s="28" t="s">
        <v>38</v>
      </c>
      <c r="U514" s="28" t="s">
        <v>38</v>
      </c>
      <c r="V514" s="28" t="s">
        <v>38</v>
      </c>
      <c r="W514" s="28" t="s">
        <v>38</v>
      </c>
      <c r="X514" s="28" t="s">
        <v>38</v>
      </c>
      <c r="Y514" s="143" t="s">
        <v>38</v>
      </c>
      <c r="Z514" s="22"/>
      <c r="AC514" s="48" t="s">
        <v>105</v>
      </c>
      <c r="AD514" s="48" t="s">
        <v>105</v>
      </c>
      <c r="AE514" s="48" t="s">
        <v>105</v>
      </c>
      <c r="AF514" s="48" t="s">
        <v>105</v>
      </c>
      <c r="AG514" s="48" t="s">
        <v>105</v>
      </c>
      <c r="AH514" s="141" t="s">
        <v>105</v>
      </c>
      <c r="AI514" s="22"/>
      <c r="AJ514" s="22"/>
      <c r="AK514" s="22"/>
      <c r="AL514" s="28" t="s">
        <v>38</v>
      </c>
      <c r="AM514" s="28" t="s">
        <v>38</v>
      </c>
      <c r="AN514" s="28" t="s">
        <v>38</v>
      </c>
      <c r="AO514" s="28" t="s">
        <v>38</v>
      </c>
      <c r="AP514" s="28" t="s">
        <v>38</v>
      </c>
      <c r="AQ514" s="143" t="s">
        <v>38</v>
      </c>
      <c r="AR514" s="22"/>
      <c r="AU514" s="48" t="s">
        <v>105</v>
      </c>
      <c r="AV514" s="48" t="s">
        <v>105</v>
      </c>
      <c r="AW514" s="118" t="s">
        <v>105</v>
      </c>
      <c r="AX514" s="118" t="s">
        <v>105</v>
      </c>
      <c r="AY514" s="118" t="s">
        <v>105</v>
      </c>
      <c r="AZ514" s="141" t="s">
        <v>105</v>
      </c>
      <c r="BA514" s="139"/>
      <c r="BB514" s="139"/>
      <c r="BC514" s="139"/>
      <c r="BD514" s="143" t="s">
        <v>38</v>
      </c>
      <c r="BE514" s="143" t="s">
        <v>38</v>
      </c>
      <c r="BF514" s="143" t="s">
        <v>38</v>
      </c>
      <c r="BG514" s="143" t="s">
        <v>38</v>
      </c>
      <c r="BH514" s="143" t="s">
        <v>38</v>
      </c>
      <c r="BI514" s="143" t="s">
        <v>38</v>
      </c>
    </row>
    <row r="515" spans="8:61" ht="12">
      <c r="H515" s="92" t="s">
        <v>102</v>
      </c>
      <c r="I515" s="88"/>
      <c r="J515" s="88"/>
      <c r="K515" s="93">
        <f>K487-K488</f>
        <v>54373</v>
      </c>
      <c r="L515" s="93">
        <f>L487-L488</f>
        <v>49909</v>
      </c>
      <c r="M515" s="93">
        <f>M487-M488</f>
        <v>37749</v>
      </c>
      <c r="N515" s="93">
        <f>N487-N488</f>
        <v>0</v>
      </c>
      <c r="O515" s="93">
        <f>O487-O488</f>
        <v>0</v>
      </c>
      <c r="P515" s="94">
        <f>AVERAGE(K515:O515)</f>
        <v>28406.2</v>
      </c>
      <c r="Q515" s="22" t="s">
        <v>102</v>
      </c>
      <c r="S515" s="132">
        <f>T515-X515</f>
        <v>-4412</v>
      </c>
      <c r="T515" s="42">
        <f>T483-T484</f>
        <v>13853</v>
      </c>
      <c r="U515" s="42">
        <f>U483-U484</f>
        <v>14774</v>
      </c>
      <c r="V515" s="42">
        <f>V483-V484</f>
        <v>15860</v>
      </c>
      <c r="W515" s="42">
        <f>W483-W484</f>
        <v>19782</v>
      </c>
      <c r="X515" s="42">
        <f>X483-X484</f>
        <v>18265</v>
      </c>
      <c r="Y515" s="53">
        <f>AVERAGE(T515:X515)</f>
        <v>16506.8</v>
      </c>
      <c r="Z515" s="22" t="s">
        <v>53</v>
      </c>
      <c r="AB515" s="44">
        <f aca="true" t="shared" si="242" ref="AB515:AB521">AC515-AG515</f>
        <v>51.39633827391815</v>
      </c>
      <c r="AC515" s="51">
        <f>(AC485/AC511)*100</f>
        <v>126.95679398872888</v>
      </c>
      <c r="AD515" s="51">
        <f>(AD485/AD511)*100</f>
        <v>109.0358126721763</v>
      </c>
      <c r="AE515" s="51">
        <f>(AE485/AE511)*100</f>
        <v>68.22807300920691</v>
      </c>
      <c r="AF515" s="51">
        <f>(AF485/AF511)*100</f>
        <v>92.06</v>
      </c>
      <c r="AG515" s="51">
        <f>(AG485/AG511)*100</f>
        <v>75.56045571481073</v>
      </c>
      <c r="AH515" s="140">
        <f aca="true" t="shared" si="243" ref="AH515:AH521">AVERAGE(AC515:AG515)</f>
        <v>94.36822707698457</v>
      </c>
      <c r="AI515" s="22" t="s">
        <v>102</v>
      </c>
      <c r="AJ515" s="25"/>
      <c r="AK515" s="132">
        <f>AL515-AP515</f>
        <v>-4496</v>
      </c>
      <c r="AL515" s="42">
        <f>AL483-AL484</f>
        <v>6388</v>
      </c>
      <c r="AM515" s="42">
        <f>AM483-AM484</f>
        <v>7260</v>
      </c>
      <c r="AN515" s="42">
        <f>AN483-AN484</f>
        <v>12382</v>
      </c>
      <c r="AO515" s="42">
        <f>AO483-AO484</f>
        <v>10000</v>
      </c>
      <c r="AP515" s="42">
        <f>AP483-AP484</f>
        <v>10884</v>
      </c>
      <c r="AQ515" s="53">
        <f>AVERAGE(AL515:AP515)</f>
        <v>9382.8</v>
      </c>
      <c r="AR515" s="22" t="s">
        <v>53</v>
      </c>
      <c r="AT515" s="132">
        <f aca="true" t="shared" si="244" ref="AT515:AT521">AU515-AY515</f>
        <v>-48.75765725384731</v>
      </c>
      <c r="AU515" s="51">
        <f>(AU485/AU511)*100</f>
        <v>43.768115942028984</v>
      </c>
      <c r="AV515" s="51">
        <f>(AV485/AV511)*100</f>
        <v>78.4623217922607</v>
      </c>
      <c r="AW515" s="119">
        <f>(AW485/AW511)*100</f>
        <v>75.22935779816514</v>
      </c>
      <c r="AX515" s="119">
        <f>(AX485/AX511)*100</f>
        <v>76.2954796030871</v>
      </c>
      <c r="AY515" s="119">
        <f>(AY485/AY511)*100</f>
        <v>92.5257731958763</v>
      </c>
      <c r="AZ515" s="140">
        <f aca="true" t="shared" si="245" ref="AZ515:AZ521">AVERAGE(AU515:AY515)</f>
        <v>73.25620966628364</v>
      </c>
      <c r="BA515" s="139" t="s">
        <v>102</v>
      </c>
      <c r="BC515" s="146">
        <f>BD515-BH515</f>
        <v>863</v>
      </c>
      <c r="BD515" s="147">
        <f>BD483-BD484</f>
        <v>2415</v>
      </c>
      <c r="BE515" s="147">
        <f>BE483-BE484</f>
        <v>1964</v>
      </c>
      <c r="BF515" s="147">
        <f>BF483-BF484</f>
        <v>2180</v>
      </c>
      <c r="BG515" s="147">
        <f>BG483-BG484</f>
        <v>1814</v>
      </c>
      <c r="BH515" s="147">
        <f>BH483-BH484</f>
        <v>1552</v>
      </c>
      <c r="BI515" s="53">
        <f>AVERAGE(BD515:BH515)</f>
        <v>1985</v>
      </c>
    </row>
    <row r="516" spans="8:61" ht="12">
      <c r="H516" s="92" t="s">
        <v>103</v>
      </c>
      <c r="I516" s="88"/>
      <c r="J516" s="88"/>
      <c r="K516" s="93">
        <f>K492-K493</f>
        <v>490</v>
      </c>
      <c r="L516" s="93">
        <f>L492-L493</f>
        <v>367</v>
      </c>
      <c r="M516" s="93">
        <f>M492-M493</f>
        <v>221</v>
      </c>
      <c r="N516" s="93">
        <f>N492-N493</f>
        <v>0</v>
      </c>
      <c r="O516" s="93">
        <f>O492-O493</f>
        <v>0</v>
      </c>
      <c r="P516" s="94">
        <f>AVERAGE(K516:O516)</f>
        <v>215.6</v>
      </c>
      <c r="Q516" s="22" t="s">
        <v>104</v>
      </c>
      <c r="S516" s="44">
        <f>T516-X516</f>
        <v>0.4803580491409457</v>
      </c>
      <c r="T516" s="33">
        <f>T488/T515</f>
        <v>1.2395149065184436</v>
      </c>
      <c r="U516" s="33">
        <f>U488/U515</f>
        <v>1.0959117368349804</v>
      </c>
      <c r="V516" s="33">
        <f>V488/V515</f>
        <v>0.9605926860025221</v>
      </c>
      <c r="W516" s="33">
        <f>W488/W515</f>
        <v>0.7232837933474876</v>
      </c>
      <c r="X516" s="33">
        <f>X488/X515</f>
        <v>0.7591568573774979</v>
      </c>
      <c r="Y516" s="140">
        <f>AVERAGE(T516:X516)</f>
        <v>0.9556919960161864</v>
      </c>
      <c r="Z516" s="22" t="s">
        <v>54</v>
      </c>
      <c r="AB516" s="44">
        <f t="shared" si="242"/>
        <v>-162.05594405594405</v>
      </c>
      <c r="AC516" s="51">
        <f>AC490/AC491</f>
        <v>5.944055944055944</v>
      </c>
      <c r="AD516" s="51">
        <f>AD490/AD491</f>
        <v>5.111111111111111</v>
      </c>
      <c r="AE516" s="51">
        <f>AE490/AE491</f>
        <v>12.819672131147541</v>
      </c>
      <c r="AF516" s="51">
        <f>AF490/AF491</f>
        <v>14.03921568627451</v>
      </c>
      <c r="AG516" s="51">
        <f>AG490/AG491</f>
        <v>168</v>
      </c>
      <c r="AH516" s="140">
        <f t="shared" si="243"/>
        <v>41.18281097451782</v>
      </c>
      <c r="AI516" s="22" t="s">
        <v>104</v>
      </c>
      <c r="AJ516" s="25"/>
      <c r="AK516" s="44">
        <f>AL516-AP516</f>
        <v>0.9465978910751669</v>
      </c>
      <c r="AL516" s="33">
        <f>AL488/AL515</f>
        <v>2.4414527238572323</v>
      </c>
      <c r="AM516" s="33">
        <f>AM488/AM515</f>
        <v>2.0636363636363635</v>
      </c>
      <c r="AN516" s="33">
        <f>AN488/AN515</f>
        <v>1.3408173154579228</v>
      </c>
      <c r="AO516" s="33">
        <f>AO488/AO515</f>
        <v>1.6038</v>
      </c>
      <c r="AP516" s="33">
        <f>AP488/AP515</f>
        <v>1.4948548327820654</v>
      </c>
      <c r="AQ516" s="140">
        <f>AVERAGE(AL516:AP516)</f>
        <v>1.7889122471467167</v>
      </c>
      <c r="AR516" s="22" t="s">
        <v>54</v>
      </c>
      <c r="AT516" s="132">
        <f t="shared" si="244"/>
        <v>-50.90196078431372</v>
      </c>
      <c r="AU516" s="51">
        <f>AU490/-AU491</f>
        <v>-59.666666666666664</v>
      </c>
      <c r="AV516" s="51">
        <f>AV490/-AV491</f>
        <v>-23.444444444444443</v>
      </c>
      <c r="AW516" s="119">
        <f>AW490/-AW491</f>
        <v>-12.692307692307692</v>
      </c>
      <c r="AX516" s="119">
        <f>AX490/-AX491</f>
        <v>-12.375</v>
      </c>
      <c r="AY516" s="119">
        <f>AY490/-AY491</f>
        <v>-8.764705882352942</v>
      </c>
      <c r="AZ516" s="140">
        <f t="shared" si="245"/>
        <v>-23.38862493715435</v>
      </c>
      <c r="BA516" s="139" t="s">
        <v>104</v>
      </c>
      <c r="BC516" s="148">
        <f>BD516-BH516</f>
        <v>-0.24618257881368577</v>
      </c>
      <c r="BD516" s="149">
        <f>BD488/BD515</f>
        <v>1.1507246376811595</v>
      </c>
      <c r="BE516" s="149">
        <f>BE488/BE515</f>
        <v>1.2993890020366599</v>
      </c>
      <c r="BF516" s="149">
        <f>BF488/BF515</f>
        <v>1.1458715596330276</v>
      </c>
      <c r="BG516" s="149">
        <f>BG488/BG515</f>
        <v>1.2998897464167585</v>
      </c>
      <c r="BH516" s="149">
        <f>BH488/BH515</f>
        <v>1.3969072164948453</v>
      </c>
      <c r="BI516" s="140">
        <f>AVERAGE(BD516:BH516)</f>
        <v>1.2585564324524903</v>
      </c>
    </row>
    <row r="517" spans="8:61" ht="12">
      <c r="H517" s="92" t="s">
        <v>104</v>
      </c>
      <c r="I517" s="88"/>
      <c r="J517" s="88"/>
      <c r="K517" s="93">
        <f>K492-K515</f>
        <v>-49215</v>
      </c>
      <c r="L517" s="93">
        <f>L492-L515</f>
        <v>-42218</v>
      </c>
      <c r="M517" s="93">
        <f>M492-M515</f>
        <v>-33370</v>
      </c>
      <c r="N517" s="93">
        <f>N492-N515</f>
        <v>0</v>
      </c>
      <c r="O517" s="93">
        <f>O492-O515</f>
        <v>0</v>
      </c>
      <c r="P517" s="94">
        <f>AVERAGE(K517:O517)</f>
        <v>-24960.6</v>
      </c>
      <c r="Q517" s="22"/>
      <c r="T517" s="33"/>
      <c r="U517" s="33"/>
      <c r="V517" s="33"/>
      <c r="W517" s="33"/>
      <c r="X517" s="33"/>
      <c r="Y517" s="140"/>
      <c r="Z517" s="22" t="s">
        <v>97</v>
      </c>
      <c r="AB517" s="44">
        <f t="shared" si="242"/>
        <v>39.82683982683983</v>
      </c>
      <c r="AC517" s="51">
        <f>(AC493/AC486)*100</f>
        <v>45.28138528138528</v>
      </c>
      <c r="AD517" s="51">
        <f>(AD493/AD486)*100</f>
        <v>64.46644664466447</v>
      </c>
      <c r="AE517" s="51">
        <f>(AE493/AE486)*100</f>
        <v>23.300970873786408</v>
      </c>
      <c r="AF517" s="51">
        <f>(AF493/AF486)*100</f>
        <v>25.464590657960823</v>
      </c>
      <c r="AG517" s="51">
        <f>(AG493/AG486)*100</f>
        <v>5.454545454545454</v>
      </c>
      <c r="AH517" s="140">
        <f t="shared" si="243"/>
        <v>32.79358778246849</v>
      </c>
      <c r="AI517" s="22"/>
      <c r="AJ517" s="25"/>
      <c r="AK517" s="25"/>
      <c r="AL517" s="33"/>
      <c r="AM517" s="33"/>
      <c r="AN517" s="33"/>
      <c r="AO517" s="33"/>
      <c r="AP517" s="33"/>
      <c r="AQ517" s="140"/>
      <c r="AR517" s="22" t="s">
        <v>97</v>
      </c>
      <c r="AT517" s="132">
        <f t="shared" si="244"/>
        <v>12.60518631479112</v>
      </c>
      <c r="AU517" s="51">
        <f>(AU493/AU486)*100</f>
        <v>34.268629254829804</v>
      </c>
      <c r="AV517" s="51">
        <f>(AV493/AV486)*100</f>
        <v>23.205574912891986</v>
      </c>
      <c r="AW517" s="119">
        <f>(AW493/AW486)*100</f>
        <v>19.65811965811966</v>
      </c>
      <c r="AX517" s="119">
        <f>(AX493/AX486)*100</f>
        <v>28.196721311475407</v>
      </c>
      <c r="AY517" s="119">
        <f>(AY493/AY486)*100</f>
        <v>21.663442940038685</v>
      </c>
      <c r="AZ517" s="140">
        <f t="shared" si="245"/>
        <v>25.398497615471108</v>
      </c>
      <c r="BA517" s="139"/>
      <c r="BD517" s="149"/>
      <c r="BE517" s="149"/>
      <c r="BF517" s="149"/>
      <c r="BG517" s="149"/>
      <c r="BH517" s="149"/>
      <c r="BI517" s="140"/>
    </row>
    <row r="518" spans="8:61" ht="12">
      <c r="H518" s="92"/>
      <c r="I518" s="88"/>
      <c r="J518" s="88"/>
      <c r="K518" s="97"/>
      <c r="L518" s="97"/>
      <c r="M518" s="97"/>
      <c r="N518" s="97"/>
      <c r="O518" s="97"/>
      <c r="P518" s="95"/>
      <c r="Q518" s="22"/>
      <c r="T518" s="48" t="s">
        <v>105</v>
      </c>
      <c r="U518" s="48" t="s">
        <v>105</v>
      </c>
      <c r="V518" s="48" t="s">
        <v>105</v>
      </c>
      <c r="W518" s="48" t="s">
        <v>105</v>
      </c>
      <c r="X518" s="48" t="s">
        <v>105</v>
      </c>
      <c r="Y518" s="141" t="s">
        <v>105</v>
      </c>
      <c r="Z518" s="22" t="s">
        <v>86</v>
      </c>
      <c r="AB518" s="44">
        <f t="shared" si="242"/>
        <v>6.769929660624058</v>
      </c>
      <c r="AC518" s="51">
        <f>(AC490/AC488)*100</f>
        <v>10.900230828417543</v>
      </c>
      <c r="AD518" s="51">
        <f>(AD490/AD488)*100</f>
        <v>7.982912828727806</v>
      </c>
      <c r="AE518" s="51">
        <f>(AE490/AE488)*100</f>
        <v>9.420551740754126</v>
      </c>
      <c r="AF518" s="51">
        <f>(AF490/AF488)*100</f>
        <v>8.928794113979299</v>
      </c>
      <c r="AG518" s="51">
        <f>(AG490/AG488)*100</f>
        <v>4.130301167793485</v>
      </c>
      <c r="AH518" s="140">
        <f t="shared" si="243"/>
        <v>8.272558135934451</v>
      </c>
      <c r="AI518" s="22"/>
      <c r="AJ518" s="25"/>
      <c r="AK518" s="25"/>
      <c r="AL518" s="48" t="s">
        <v>105</v>
      </c>
      <c r="AM518" s="48" t="s">
        <v>105</v>
      </c>
      <c r="AN518" s="48" t="s">
        <v>105</v>
      </c>
      <c r="AO518" s="48" t="s">
        <v>105</v>
      </c>
      <c r="AP518" s="48" t="s">
        <v>105</v>
      </c>
      <c r="AQ518" s="141" t="s">
        <v>105</v>
      </c>
      <c r="AR518" s="22" t="s">
        <v>86</v>
      </c>
      <c r="AT518" s="132">
        <f t="shared" si="244"/>
        <v>5.578110207154609</v>
      </c>
      <c r="AU518" s="51">
        <f>(AU490/AU488)*100</f>
        <v>19.323497661029148</v>
      </c>
      <c r="AV518" s="51">
        <f>(AV490/AV488)*100</f>
        <v>16.53605015673981</v>
      </c>
      <c r="AW518" s="119">
        <f>(AW490/AW488)*100</f>
        <v>13.210568454763811</v>
      </c>
      <c r="AX518" s="119">
        <f>(AX490/AX488)*100</f>
        <v>16.793893129770993</v>
      </c>
      <c r="AY518" s="119">
        <f>(AY490/AY488)*100</f>
        <v>13.745387453874539</v>
      </c>
      <c r="AZ518" s="140">
        <f t="shared" si="245"/>
        <v>15.921879371235661</v>
      </c>
      <c r="BA518" s="139"/>
      <c r="BC518" s="25"/>
      <c r="BD518" s="25"/>
      <c r="BE518" s="25"/>
      <c r="BF518" s="25"/>
      <c r="BG518" s="25"/>
      <c r="BH518" s="25"/>
      <c r="BI518" s="25"/>
    </row>
    <row r="519" spans="8:61" ht="12">
      <c r="H519" s="92"/>
      <c r="I519" s="88"/>
      <c r="J519" s="88"/>
      <c r="K519" s="98" t="s">
        <v>105</v>
      </c>
      <c r="L519" s="98" t="s">
        <v>105</v>
      </c>
      <c r="M519" s="98" t="s">
        <v>105</v>
      </c>
      <c r="N519" s="98" t="s">
        <v>105</v>
      </c>
      <c r="O519" s="98" t="s">
        <v>105</v>
      </c>
      <c r="P519" s="99" t="s">
        <v>105</v>
      </c>
      <c r="Q519" s="22" t="s">
        <v>53</v>
      </c>
      <c r="S519" s="44">
        <f aca="true" t="shared" si="246" ref="S519:S525">T519-X519</f>
        <v>-29.12626099918289</v>
      </c>
      <c r="T519" s="51">
        <f>(T485/T515)*100</f>
        <v>96.71551288529561</v>
      </c>
      <c r="U519" s="51">
        <f>(U485/U515)*100</f>
        <v>83.30174631108704</v>
      </c>
      <c r="V519" s="51">
        <f>(V485/V515)*100</f>
        <v>168.9092055485498</v>
      </c>
      <c r="W519" s="51">
        <f>(W485/W515)*100</f>
        <v>130.11323425336164</v>
      </c>
      <c r="X519" s="51">
        <f>(X485/X515)*100</f>
        <v>125.8417738844785</v>
      </c>
      <c r="Y519" s="140">
        <f aca="true" t="shared" si="247" ref="Y519:Y525">AVERAGE(T519:X519)</f>
        <v>120.97629457655451</v>
      </c>
      <c r="Z519" s="22" t="s">
        <v>23</v>
      </c>
      <c r="AB519" s="44">
        <f t="shared" si="242"/>
        <v>-1.5817280698302012</v>
      </c>
      <c r="AC519" s="51">
        <f>AC482/AC484</f>
        <v>0.5661874070401587</v>
      </c>
      <c r="AD519" s="51">
        <f>AD482/AD484</f>
        <v>0.6725949878738885</v>
      </c>
      <c r="AE519" s="51">
        <f>AE482/AE484</f>
        <v>3.2649789029535863</v>
      </c>
      <c r="AF519" s="51">
        <f>AF482/AF484</f>
        <v>1.8971361776738749</v>
      </c>
      <c r="AG519" s="51">
        <f>AG482/AG484</f>
        <v>2.14791547687036</v>
      </c>
      <c r="AH519" s="140">
        <f t="shared" si="243"/>
        <v>1.7097625904823737</v>
      </c>
      <c r="AI519" s="22" t="s">
        <v>53</v>
      </c>
      <c r="AJ519" s="25"/>
      <c r="AK519" s="44">
        <f aca="true" t="shared" si="248" ref="AK519:AK525">AL519-AP519</f>
        <v>51.39633827391815</v>
      </c>
      <c r="AL519" s="51">
        <f>(AL485/AL515)*100</f>
        <v>126.95679398872888</v>
      </c>
      <c r="AM519" s="51">
        <f>(AM485/AM515)*100</f>
        <v>109.0358126721763</v>
      </c>
      <c r="AN519" s="51">
        <f>(AN485/AN515)*100</f>
        <v>68.22807300920691</v>
      </c>
      <c r="AO519" s="51">
        <f>(AO485/AO515)*100</f>
        <v>92.06</v>
      </c>
      <c r="AP519" s="51">
        <f>(AP485/AP515)*100</f>
        <v>75.56045571481073</v>
      </c>
      <c r="AQ519" s="140">
        <f aca="true" t="shared" si="249" ref="AQ519:AQ525">AVERAGE(AL519:AP519)</f>
        <v>94.36822707698457</v>
      </c>
      <c r="AR519" s="22" t="s">
        <v>23</v>
      </c>
      <c r="AT519" s="132">
        <f t="shared" si="244"/>
        <v>0.8547113289760351</v>
      </c>
      <c r="AU519" s="51">
        <f>AU482/AU484</f>
        <v>2.0159313725490198</v>
      </c>
      <c r="AV519" s="51">
        <f>AV482/AV484</f>
        <v>1.3221343873517786</v>
      </c>
      <c r="AW519" s="119">
        <f>AW482/AW484</f>
        <v>1.4768518518518519</v>
      </c>
      <c r="AX519" s="119">
        <f>AX482/AX484</f>
        <v>1.410126582278481</v>
      </c>
      <c r="AY519" s="119">
        <f>AY482/AY484</f>
        <v>1.1612200435729847</v>
      </c>
      <c r="AZ519" s="140">
        <f t="shared" si="245"/>
        <v>1.477252847520823</v>
      </c>
      <c r="BA519" s="139" t="s">
        <v>53</v>
      </c>
      <c r="BC519" s="148">
        <f aca="true" t="shared" si="250" ref="BC519:BC525">BD519-BH519</f>
        <v>-48.75765725384731</v>
      </c>
      <c r="BD519" s="144">
        <f>(BD485/BD515)*100</f>
        <v>43.768115942028984</v>
      </c>
      <c r="BE519" s="144">
        <f>(BE485/BE515)*100</f>
        <v>78.4623217922607</v>
      </c>
      <c r="BF519" s="144">
        <f>(BF485/BF515)*100</f>
        <v>75.22935779816514</v>
      </c>
      <c r="BG519" s="144">
        <f>(BG485/BG515)*100</f>
        <v>76.2954796030871</v>
      </c>
      <c r="BH519" s="144">
        <f>(BH485/BH515)*100</f>
        <v>92.5257731958763</v>
      </c>
      <c r="BI519" s="140">
        <f aca="true" t="shared" si="251" ref="BI519:BI525">AVERAGE(BD519:BH519)</f>
        <v>73.25620966628364</v>
      </c>
    </row>
    <row r="520" spans="8:61" ht="12">
      <c r="H520" s="92" t="s">
        <v>53</v>
      </c>
      <c r="I520" s="88"/>
      <c r="J520" s="88"/>
      <c r="K520" s="100">
        <f>(K489/K515)*100</f>
        <v>92.55328931638866</v>
      </c>
      <c r="L520" s="100">
        <f>(L489/L515)*100</f>
        <v>92.46027770542388</v>
      </c>
      <c r="M520" s="100">
        <f>(M489/M515)*100</f>
        <v>93.0011391030226</v>
      </c>
      <c r="N520" s="100" t="e">
        <f>(N489/N515)*100</f>
        <v>#DIV/0!</v>
      </c>
      <c r="O520" s="100" t="e">
        <f>(O489/O515)*100</f>
        <v>#DIV/0!</v>
      </c>
      <c r="P520" s="95" t="e">
        <f aca="true" t="shared" si="252" ref="P520:P526">AVERAGE(K520:O520)</f>
        <v>#DIV/0!</v>
      </c>
      <c r="Q520" s="22" t="s">
        <v>54</v>
      </c>
      <c r="S520" s="44">
        <f t="shared" si="246"/>
        <v>2.0350877192982457</v>
      </c>
      <c r="T520" s="51">
        <f>T490/T491</f>
        <v>0.06666666666666667</v>
      </c>
      <c r="U520" s="51">
        <f>U490/U491</f>
        <v>-1.938953488372093</v>
      </c>
      <c r="V520" s="51">
        <f>V490/V491</f>
        <v>-4.014563106796117</v>
      </c>
      <c r="W520" s="51">
        <f>W490/W491</f>
        <v>-1.0369881109643329</v>
      </c>
      <c r="X520" s="51">
        <f>X490/X491</f>
        <v>-1.9684210526315788</v>
      </c>
      <c r="Y520" s="140">
        <f t="shared" si="247"/>
        <v>-1.7784518184194908</v>
      </c>
      <c r="Z520" s="22" t="s">
        <v>49</v>
      </c>
      <c r="AB520" s="44">
        <f t="shared" si="242"/>
        <v>5.855602094795068</v>
      </c>
      <c r="AC520" s="51">
        <f>((AC493-AC491-AC492)/AC511)*100</f>
        <v>8.703819661865998</v>
      </c>
      <c r="AD520" s="51">
        <f>((AD493-AD491-AD492)/AD511)*100</f>
        <v>8.319559228650137</v>
      </c>
      <c r="AE520" s="51">
        <f>((AE490-AE491-AE492)/AE511)*100</f>
        <v>8.092392182199967</v>
      </c>
      <c r="AF520" s="51">
        <f>((AF490-AF491-AF492)/AF511)*100</f>
        <v>8.959999999999999</v>
      </c>
      <c r="AG520" s="51">
        <f>((AG490-AG491-AG492)/AG511)*100</f>
        <v>2.8482175670709298</v>
      </c>
      <c r="AH520" s="140">
        <f t="shared" si="243"/>
        <v>7.384797727957407</v>
      </c>
      <c r="AI520" s="22" t="s">
        <v>54</v>
      </c>
      <c r="AJ520" s="25"/>
      <c r="AK520" s="44">
        <f t="shared" si="248"/>
        <v>-162.05594405594405</v>
      </c>
      <c r="AL520" s="51">
        <f>AL490/AL491</f>
        <v>5.944055944055944</v>
      </c>
      <c r="AM520" s="51">
        <f>AM490/AM491</f>
        <v>5.111111111111111</v>
      </c>
      <c r="AN520" s="51">
        <f>AN490/AN491</f>
        <v>12.819672131147541</v>
      </c>
      <c r="AO520" s="51">
        <f>AO490/AO491</f>
        <v>14.03921568627451</v>
      </c>
      <c r="AP520" s="51">
        <f>AP490/AP491</f>
        <v>168</v>
      </c>
      <c r="AQ520" s="140">
        <f t="shared" si="249"/>
        <v>41.18281097451782</v>
      </c>
      <c r="AR520" s="22" t="s">
        <v>49</v>
      </c>
      <c r="AT520" s="132">
        <f t="shared" si="244"/>
        <v>14.204179206420353</v>
      </c>
      <c r="AU520" s="51">
        <f>((AU493-AU491-AU492)/AU511)*100</f>
        <v>24.513457556935816</v>
      </c>
      <c r="AV520" s="51">
        <f>((AV493-AV491-AV492)/AV511)*100</f>
        <v>10.336048879837067</v>
      </c>
      <c r="AW520" s="119">
        <f>((AW490-AW491-AW492)/AW511)*100</f>
        <v>10.458715596330276</v>
      </c>
      <c r="AX520" s="119">
        <f>((AX490-AX491-AX492)/AX511)*100</f>
        <v>14.332965821389196</v>
      </c>
      <c r="AY520" s="119">
        <f>((AY490-AY491-AY492)/AY511)*100</f>
        <v>10.309278350515463</v>
      </c>
      <c r="AZ520" s="140">
        <f t="shared" si="245"/>
        <v>13.990093241001563</v>
      </c>
      <c r="BA520" s="139" t="s">
        <v>54</v>
      </c>
      <c r="BC520" s="148">
        <f t="shared" si="250"/>
        <v>50.90196078431372</v>
      </c>
      <c r="BD520" s="144">
        <f>BD490/BD491</f>
        <v>59.666666666666664</v>
      </c>
      <c r="BE520" s="144">
        <f>BE490/BE491</f>
        <v>23.444444444444443</v>
      </c>
      <c r="BF520" s="144">
        <f>BF490/BF491</f>
        <v>12.692307692307692</v>
      </c>
      <c r="BG520" s="144">
        <f>BG490/BG491</f>
        <v>12.375</v>
      </c>
      <c r="BH520" s="144">
        <f>BH490/BH491</f>
        <v>8.764705882352942</v>
      </c>
      <c r="BI520" s="140">
        <f t="shared" si="251"/>
        <v>23.38862493715435</v>
      </c>
    </row>
    <row r="521" spans="8:61" ht="12">
      <c r="H521" s="92" t="s">
        <v>54</v>
      </c>
      <c r="I521" s="88"/>
      <c r="J521" s="88"/>
      <c r="K521" s="100">
        <f>K494/-K495</f>
        <v>-5.568181818181818</v>
      </c>
      <c r="L521" s="100">
        <f>L494/-L495</f>
        <v>-4.123595505617978</v>
      </c>
      <c r="M521" s="100">
        <f>M494/-M495</f>
        <v>-4.42</v>
      </c>
      <c r="N521" s="100" t="e">
        <f>N494/-N495</f>
        <v>#DIV/0!</v>
      </c>
      <c r="O521" s="100" t="e">
        <f>O494/-O495</f>
        <v>#DIV/0!</v>
      </c>
      <c r="P521" s="95" t="e">
        <f t="shared" si="252"/>
        <v>#DIV/0!</v>
      </c>
      <c r="Q521" s="22" t="s">
        <v>97</v>
      </c>
      <c r="S521" s="44">
        <f t="shared" si="246"/>
        <v>188.07499150021965</v>
      </c>
      <c r="T521" s="51">
        <f>(T493/T486)*100</f>
        <v>45.63378209372471</v>
      </c>
      <c r="U521" s="51">
        <f>(U493/U486)*100</f>
        <v>38.58514401212734</v>
      </c>
      <c r="V521" s="51">
        <f>(V493/V486)*100</f>
        <v>89.68253968253968</v>
      </c>
      <c r="W521" s="51">
        <f>(W493/W486)*100</f>
        <v>117.29893778452201</v>
      </c>
      <c r="X521" s="51">
        <f>(X493/X486)*100</f>
        <v>-142.44120940649495</v>
      </c>
      <c r="Y521" s="140">
        <f t="shared" si="247"/>
        <v>29.751838833283756</v>
      </c>
      <c r="Z521" s="22" t="s">
        <v>50</v>
      </c>
      <c r="AB521" s="44">
        <f t="shared" si="242"/>
        <v>1.6596694060365345</v>
      </c>
      <c r="AC521" s="51">
        <f>((AC493-AC491-AC492)/AC488)*100</f>
        <v>3.565016670941267</v>
      </c>
      <c r="AD521" s="51">
        <f>((AD493-AD491-AD492)/AD488)*100</f>
        <v>4.031504472033107</v>
      </c>
      <c r="AE521" s="51">
        <f>((AE490-AE491-AE492)/AE488)*100</f>
        <v>6.0354174195880015</v>
      </c>
      <c r="AF521" s="51">
        <f>((AF490-AF491-AF492)/AF488)*100</f>
        <v>5.586731512657439</v>
      </c>
      <c r="AG521" s="51">
        <f>((AG490-AG491-AG492)/AG488)*100</f>
        <v>1.9053472649047325</v>
      </c>
      <c r="AH521" s="140">
        <f t="shared" si="243"/>
        <v>4.224803468024909</v>
      </c>
      <c r="AI521" s="22" t="s">
        <v>97</v>
      </c>
      <c r="AJ521" s="25"/>
      <c r="AK521" s="44">
        <f t="shared" si="248"/>
        <v>39.82683982683983</v>
      </c>
      <c r="AL521" s="51">
        <f>(AL493/AL486)*100</f>
        <v>45.28138528138528</v>
      </c>
      <c r="AM521" s="51">
        <f>(AM493/AM486)*100</f>
        <v>64.46644664466447</v>
      </c>
      <c r="AN521" s="51">
        <f>(AN493/AN486)*100</f>
        <v>23.300970873786408</v>
      </c>
      <c r="AO521" s="51">
        <f>(AO493/AO486)*100</f>
        <v>25.464590657960823</v>
      </c>
      <c r="AP521" s="51">
        <f>(AP493/AP486)*100</f>
        <v>5.454545454545454</v>
      </c>
      <c r="AQ521" s="140">
        <f t="shared" si="249"/>
        <v>32.79358778246849</v>
      </c>
      <c r="AR521" s="22" t="s">
        <v>50</v>
      </c>
      <c r="AT521" s="132">
        <f t="shared" si="244"/>
        <v>13.922553043450552</v>
      </c>
      <c r="AU521" s="51">
        <f>((AU493-AU491-AU492)/AU488)*100</f>
        <v>21.30262684418856</v>
      </c>
      <c r="AV521" s="51">
        <f>((AV493-AV491-AV492)/AV488)*100</f>
        <v>7.954545454545454</v>
      </c>
      <c r="AW521" s="119">
        <f>((AW490-AW491-AW492)/AW488)*100</f>
        <v>9.127301841473178</v>
      </c>
      <c r="AX521" s="119">
        <f>((AX490-AX491-AX492)/AX488)*100</f>
        <v>11.02629346904156</v>
      </c>
      <c r="AY521" s="119">
        <f>((AY490-AY491-AY492)/AY488)*100</f>
        <v>7.380073800738007</v>
      </c>
      <c r="AZ521" s="140">
        <f t="shared" si="245"/>
        <v>11.35816828199735</v>
      </c>
      <c r="BA521" s="139" t="s">
        <v>97</v>
      </c>
      <c r="BC521" s="148">
        <f t="shared" si="250"/>
        <v>12.60518631479112</v>
      </c>
      <c r="BD521" s="144">
        <f>(BD493/BD486)*100</f>
        <v>34.268629254829804</v>
      </c>
      <c r="BE521" s="144">
        <f>(BE493/BE486)*100</f>
        <v>23.205574912891986</v>
      </c>
      <c r="BF521" s="144">
        <f>(BF493/BF486)*100</f>
        <v>19.65811965811966</v>
      </c>
      <c r="BG521" s="144">
        <f>(BG493/BG486)*100</f>
        <v>28.196721311475407</v>
      </c>
      <c r="BH521" s="144">
        <f>(BH493/BH486)*100</f>
        <v>21.663442940038685</v>
      </c>
      <c r="BI521" s="140">
        <f t="shared" si="251"/>
        <v>25.398497615471108</v>
      </c>
    </row>
    <row r="522" spans="8:61" ht="12">
      <c r="H522" s="92" t="s">
        <v>97</v>
      </c>
      <c r="I522" s="88"/>
      <c r="J522" s="88"/>
      <c r="K522" s="100">
        <f>(K497/K490)*100</f>
        <v>10.108043217286914</v>
      </c>
      <c r="L522" s="100">
        <f>(L497/L490)*100</f>
        <v>5</v>
      </c>
      <c r="M522" s="100">
        <f>(M497/M490)*100</f>
        <v>6.433166547533952</v>
      </c>
      <c r="N522" s="100" t="e">
        <f>(N497/N490)*100</f>
        <v>#DIV/0!</v>
      </c>
      <c r="O522" s="100" t="e">
        <f>(O497/O490)*100</f>
        <v>#DIV/0!</v>
      </c>
      <c r="P522" s="95" t="e">
        <f t="shared" si="252"/>
        <v>#DIV/0!</v>
      </c>
      <c r="Q522" s="22" t="s">
        <v>86</v>
      </c>
      <c r="S522" s="44">
        <f t="shared" si="246"/>
        <v>9.7781365226204</v>
      </c>
      <c r="T522" s="51">
        <f>(T490/T488)*100</f>
        <v>0.33777881311513597</v>
      </c>
      <c r="U522" s="51">
        <f>(U490/U488)*100</f>
        <v>-12.358717806188624</v>
      </c>
      <c r="V522" s="51">
        <f>(V490/V488)*100</f>
        <v>-21.713160485723662</v>
      </c>
      <c r="W522" s="51">
        <f>(W490/W488)*100</f>
        <v>-5.486441151803187</v>
      </c>
      <c r="X522" s="51">
        <f>(X490/X488)*100</f>
        <v>-9.440357709505264</v>
      </c>
      <c r="Y522" s="140">
        <f t="shared" si="247"/>
        <v>-9.73217966802112</v>
      </c>
      <c r="AH522" s="137"/>
      <c r="AI522" s="22" t="s">
        <v>86</v>
      </c>
      <c r="AJ522" s="25"/>
      <c r="AK522" s="44">
        <f t="shared" si="248"/>
        <v>6.769929660624058</v>
      </c>
      <c r="AL522" s="51">
        <f>(AL490/AL488)*100</f>
        <v>10.900230828417543</v>
      </c>
      <c r="AM522" s="51">
        <f>(AM490/AM488)*100</f>
        <v>7.982912828727806</v>
      </c>
      <c r="AN522" s="51">
        <f>(AN490/AN488)*100</f>
        <v>9.420551740754126</v>
      </c>
      <c r="AO522" s="51">
        <f>(AO490/AO488)*100</f>
        <v>8.928794113979299</v>
      </c>
      <c r="AP522" s="51">
        <f>(AP490/AP488)*100</f>
        <v>4.130301167793485</v>
      </c>
      <c r="AQ522" s="140">
        <f t="shared" si="249"/>
        <v>8.272558135934451</v>
      </c>
      <c r="AW522" s="116"/>
      <c r="AX522" s="116"/>
      <c r="AY522" s="116"/>
      <c r="AZ522" s="137"/>
      <c r="BA522" s="139" t="s">
        <v>86</v>
      </c>
      <c r="BC522" s="148">
        <f t="shared" si="250"/>
        <v>5.578110207154609</v>
      </c>
      <c r="BD522" s="144">
        <f>(BD490/BD488)*100</f>
        <v>19.323497661029148</v>
      </c>
      <c r="BE522" s="144">
        <f>(BE490/BE488)*100</f>
        <v>16.53605015673981</v>
      </c>
      <c r="BF522" s="144">
        <f>(BF490/BF488)*100</f>
        <v>13.210568454763811</v>
      </c>
      <c r="BG522" s="144">
        <f>(BG490/BG488)*100</f>
        <v>16.793893129770993</v>
      </c>
      <c r="BH522" s="144">
        <f>(BH490/BH488)*100</f>
        <v>13.745387453874539</v>
      </c>
      <c r="BI522" s="140">
        <f t="shared" si="251"/>
        <v>15.921879371235661</v>
      </c>
    </row>
    <row r="523" spans="8:61" ht="12">
      <c r="H523" s="92" t="s">
        <v>86</v>
      </c>
      <c r="I523" s="88"/>
      <c r="J523" s="88"/>
      <c r="K523" s="100">
        <f>(K494/K492)*100</f>
        <v>9.499806126405584</v>
      </c>
      <c r="L523" s="100">
        <f>(L494/L492)*100</f>
        <v>4.771811207905344</v>
      </c>
      <c r="M523" s="100">
        <f>(M494/M492)*100</f>
        <v>5.046814341173784</v>
      </c>
      <c r="N523" s="100" t="e">
        <f>(N494/N492)*100</f>
        <v>#DIV/0!</v>
      </c>
      <c r="O523" s="100" t="e">
        <f>(O494/O492)*100</f>
        <v>#DIV/0!</v>
      </c>
      <c r="P523" s="95" t="e">
        <f t="shared" si="252"/>
        <v>#DIV/0!</v>
      </c>
      <c r="Q523" s="22" t="s">
        <v>23</v>
      </c>
      <c r="S523" s="44">
        <f t="shared" si="246"/>
        <v>0.3289446961302155</v>
      </c>
      <c r="T523" s="51">
        <f>T482/T484</f>
        <v>0.9334373374934998</v>
      </c>
      <c r="U523" s="51">
        <f>U482/U484</f>
        <v>0.8509021842355176</v>
      </c>
      <c r="V523" s="51">
        <f>V482/V484</f>
        <v>0.6069685238175392</v>
      </c>
      <c r="W523" s="51">
        <f>W482/W484</f>
        <v>0.7389962644144876</v>
      </c>
      <c r="X523" s="51">
        <f>X482/X484</f>
        <v>0.6044926413632843</v>
      </c>
      <c r="Y523" s="140">
        <f t="shared" si="247"/>
        <v>0.7469593902648657</v>
      </c>
      <c r="AH523" s="137"/>
      <c r="AI523" s="22" t="s">
        <v>23</v>
      </c>
      <c r="AJ523" s="25"/>
      <c r="AK523" s="44">
        <f t="shared" si="248"/>
        <v>-1.5817280698302012</v>
      </c>
      <c r="AL523" s="51">
        <f>AL482/AL484</f>
        <v>0.5661874070401587</v>
      </c>
      <c r="AM523" s="51">
        <f>AM482/AM484</f>
        <v>0.6725949878738885</v>
      </c>
      <c r="AN523" s="51">
        <f>AN482/AN484</f>
        <v>3.2649789029535863</v>
      </c>
      <c r="AO523" s="51">
        <f>AO482/AO484</f>
        <v>1.8971361776738749</v>
      </c>
      <c r="AP523" s="51">
        <f>AP482/AP484</f>
        <v>2.14791547687036</v>
      </c>
      <c r="AQ523" s="140">
        <f t="shared" si="249"/>
        <v>1.7097625904823737</v>
      </c>
      <c r="AW523" s="116"/>
      <c r="AX523" s="116"/>
      <c r="AY523" s="116"/>
      <c r="AZ523" s="137"/>
      <c r="BA523" s="139" t="s">
        <v>23</v>
      </c>
      <c r="BC523" s="148">
        <f t="shared" si="250"/>
        <v>0.8547113289760351</v>
      </c>
      <c r="BD523" s="144">
        <f>BD482/BD484</f>
        <v>2.0159313725490198</v>
      </c>
      <c r="BE523" s="144">
        <f>BE482/BE484</f>
        <v>1.3221343873517786</v>
      </c>
      <c r="BF523" s="144">
        <f>BF482/BF484</f>
        <v>1.4768518518518519</v>
      </c>
      <c r="BG523" s="144">
        <f>BG482/BG484</f>
        <v>1.410126582278481</v>
      </c>
      <c r="BH523" s="144">
        <f>BH482/BH484</f>
        <v>1.1612200435729847</v>
      </c>
      <c r="BI523" s="140">
        <f t="shared" si="251"/>
        <v>1.477252847520823</v>
      </c>
    </row>
    <row r="524" spans="8:61" ht="12">
      <c r="H524" s="92" t="s">
        <v>23</v>
      </c>
      <c r="I524" s="88"/>
      <c r="J524" s="88"/>
      <c r="K524" s="100">
        <f>K486/K488</f>
        <v>31.129310344827587</v>
      </c>
      <c r="L524" s="100">
        <f>L486/L488</f>
        <v>14.909604519774012</v>
      </c>
      <c r="M524" s="100">
        <f>M486/M488</f>
        <v>14.73076923076923</v>
      </c>
      <c r="N524" s="100" t="e">
        <f>N486/N488</f>
        <v>#DIV/0!</v>
      </c>
      <c r="O524" s="100" t="e">
        <f>O486/O488</f>
        <v>#DIV/0!</v>
      </c>
      <c r="P524" s="95" t="e">
        <f t="shared" si="252"/>
        <v>#DIV/0!</v>
      </c>
      <c r="Q524" s="22" t="s">
        <v>49</v>
      </c>
      <c r="S524" s="44">
        <f t="shared" si="246"/>
        <v>-36.69933504013407</v>
      </c>
      <c r="T524" s="51">
        <f>((T493+T491+T492)/T515)*100</f>
        <v>-44.01934599003826</v>
      </c>
      <c r="U524" s="51">
        <f>((U493+U491+U492)/U515)*100</f>
        <v>-19.134966833626642</v>
      </c>
      <c r="V524" s="51">
        <f>((V493+V491+V492)/V515)*100</f>
        <v>-19.974779319041613</v>
      </c>
      <c r="W524" s="51">
        <f>((W493+W491+W492)/W515)*100</f>
        <v>-2.1838034576888083</v>
      </c>
      <c r="X524" s="51">
        <f>((X493+X491+X492)/X515)*100</f>
        <v>-7.320010949904187</v>
      </c>
      <c r="Y524" s="140">
        <f t="shared" si="247"/>
        <v>-18.526581310059903</v>
      </c>
      <c r="AH524" s="137"/>
      <c r="AI524" s="22" t="s">
        <v>49</v>
      </c>
      <c r="AJ524" s="25"/>
      <c r="AK524" s="44">
        <f t="shared" si="248"/>
        <v>17.90763506639263</v>
      </c>
      <c r="AL524" s="51">
        <f>((AL493+AL491+AL492)/AL515)*100</f>
        <v>24.04508453350031</v>
      </c>
      <c r="AM524" s="51">
        <f>((AM493+AM491+AM492)/AM515)*100</f>
        <v>23.96694214876033</v>
      </c>
      <c r="AN524" s="51">
        <f>((AN493+AN491+AN492)/AN515)*100</f>
        <v>13.455015344855436</v>
      </c>
      <c r="AO524" s="51">
        <f>((AO493+AO491+AO492)/AO515)*100</f>
        <v>15.5</v>
      </c>
      <c r="AP524" s="51">
        <f>((AP493+AP491+AP492)/AP515)*100</f>
        <v>6.137449467107681</v>
      </c>
      <c r="AQ524" s="140">
        <f t="shared" si="249"/>
        <v>16.620898298844754</v>
      </c>
      <c r="AW524" s="116"/>
      <c r="AX524" s="116"/>
      <c r="AY524" s="116"/>
      <c r="AZ524" s="137"/>
      <c r="BA524" s="139" t="s">
        <v>49</v>
      </c>
      <c r="BC524" s="148">
        <f t="shared" si="250"/>
        <v>13.859522742310734</v>
      </c>
      <c r="BD524" s="144">
        <f>((BD493+BD491+BD492)/BD515)*100</f>
        <v>37.18426501035197</v>
      </c>
      <c r="BE524" s="144">
        <f>((BE493+BE491+BE492)/BE515)*100</f>
        <v>23.574338085539715</v>
      </c>
      <c r="BF524" s="144">
        <f>((BF493+BF491+BF492)/BF515)*100</f>
        <v>17.339449541284406</v>
      </c>
      <c r="BG524" s="144">
        <f>((BG493+BG491+BG492)/BG515)*100</f>
        <v>26.460859977949287</v>
      </c>
      <c r="BH524" s="144">
        <f>((BH493+BH491+BH492)/BH515)*100</f>
        <v>23.324742268041238</v>
      </c>
      <c r="BI524" s="140">
        <f t="shared" si="251"/>
        <v>25.57673097663332</v>
      </c>
    </row>
    <row r="525" spans="8:61" ht="12">
      <c r="H525" s="92" t="s">
        <v>49</v>
      </c>
      <c r="I525" s="88"/>
      <c r="J525" s="88"/>
      <c r="K525" s="100">
        <f>((K497-K495-K496)/K515)*100</f>
        <v>0.45426958232946496</v>
      </c>
      <c r="L525" s="100">
        <f>((L497-L495-L496)/L515)*100</f>
        <v>0.09417139193331864</v>
      </c>
      <c r="M525" s="100">
        <f>((M494-M495-M496)/M515)*100</f>
        <v>0.40530874990065957</v>
      </c>
      <c r="N525" s="100" t="e">
        <f>((N494-N495-N496)/N515)*100</f>
        <v>#DIV/0!</v>
      </c>
      <c r="O525" s="100" t="e">
        <f>((O494-O495-O496)/O515)*100</f>
        <v>#DIV/0!</v>
      </c>
      <c r="P525" s="95" t="e">
        <f t="shared" si="252"/>
        <v>#DIV/0!</v>
      </c>
      <c r="Q525" s="22" t="s">
        <v>50</v>
      </c>
      <c r="S525" s="44">
        <f t="shared" si="246"/>
        <v>-25.87107506347329</v>
      </c>
      <c r="T525" s="51">
        <f>((T493+T491+T492)/T488)*100</f>
        <v>-35.51336555820861</v>
      </c>
      <c r="U525" s="51">
        <f>((U493+U491+U492)/U488)*100</f>
        <v>-17.46031746031746</v>
      </c>
      <c r="V525" s="51">
        <f>((V493+V491+V492)/V488)*100</f>
        <v>-20.794223826714802</v>
      </c>
      <c r="W525" s="51">
        <f>((W493+W491+W492)/W488)*100</f>
        <v>-3.0192899077439197</v>
      </c>
      <c r="X525" s="51">
        <f>((X493+X491+X492)/X488)*100</f>
        <v>-9.642290494735324</v>
      </c>
      <c r="Y525" s="140">
        <f t="shared" si="247"/>
        <v>-17.285897449544024</v>
      </c>
      <c r="AH525" s="137"/>
      <c r="AI525" s="22" t="s">
        <v>50</v>
      </c>
      <c r="AJ525" s="25"/>
      <c r="AK525" s="44">
        <f t="shared" si="248"/>
        <v>5.7429631067049005</v>
      </c>
      <c r="AL525" s="51">
        <f>((AL493+AL491+AL492)/AL488)*100</f>
        <v>9.848679148499615</v>
      </c>
      <c r="AM525" s="51">
        <f>((AM493+AM491+AM492)/AM488)*100</f>
        <v>11.613936724068882</v>
      </c>
      <c r="AN525" s="51">
        <f>((AN493+AN491+AN492)/AN488)*100</f>
        <v>10.034935549933744</v>
      </c>
      <c r="AO525" s="51">
        <f>((AO493+AO491+AO492)/AO488)*100</f>
        <v>9.664546701583738</v>
      </c>
      <c r="AP525" s="51">
        <f>((AP493+AP491+AP492)/AP488)*100</f>
        <v>4.1057160417947145</v>
      </c>
      <c r="AQ525" s="140">
        <f t="shared" si="249"/>
        <v>9.053562833176139</v>
      </c>
      <c r="AW525" s="116"/>
      <c r="AX525" s="116"/>
      <c r="AY525" s="116"/>
      <c r="AZ525" s="137"/>
      <c r="BA525" s="139" t="s">
        <v>50</v>
      </c>
      <c r="BC525" s="148">
        <f t="shared" si="250"/>
        <v>15.616364961778444</v>
      </c>
      <c r="BD525" s="144">
        <f>((BD493+BD491+BD492)/BD488)*100</f>
        <v>32.313781935948185</v>
      </c>
      <c r="BE525" s="144">
        <f>((BE493+BE491+BE492)/BE488)*100</f>
        <v>18.142633228840126</v>
      </c>
      <c r="BF525" s="144">
        <f>((BF493+BF491+BF492)/BF488)*100</f>
        <v>15.13210568454764</v>
      </c>
      <c r="BG525" s="144">
        <f>((BG493+BG491+BG492)/BG488)*100</f>
        <v>20.35623409669211</v>
      </c>
      <c r="BH525" s="144">
        <f>((BH493+BH491+BH492)/BH488)*100</f>
        <v>16.69741697416974</v>
      </c>
      <c r="BI525" s="140">
        <f t="shared" si="251"/>
        <v>20.52843438403956</v>
      </c>
    </row>
    <row r="526" spans="8:61" ht="12">
      <c r="H526" s="92" t="s">
        <v>50</v>
      </c>
      <c r="I526" s="88"/>
      <c r="J526" s="88"/>
      <c r="K526" s="100">
        <f>((K497-K495-K496)/K492)*100</f>
        <v>4.78867778208608</v>
      </c>
      <c r="L526" s="100">
        <f>((L497-L495-L496)/L492)*100</f>
        <v>0.6111038876609023</v>
      </c>
      <c r="M526" s="100">
        <f>((M494-M495-M496)/M492)*100</f>
        <v>3.4939483900433888</v>
      </c>
      <c r="N526" s="100" t="e">
        <f>((N494-N495-N496)/N492)*100</f>
        <v>#DIV/0!</v>
      </c>
      <c r="O526" s="100" t="e">
        <f>((O494-O495-O496)/O492)*100</f>
        <v>#DIV/0!</v>
      </c>
      <c r="P526" s="95" t="e">
        <f t="shared" si="252"/>
        <v>#DIV/0!</v>
      </c>
      <c r="AH526" s="137"/>
      <c r="AI526" s="25"/>
      <c r="AJ526" s="25"/>
      <c r="AK526" s="25"/>
      <c r="AL526" s="25"/>
      <c r="AM526" s="25"/>
      <c r="AN526" s="25"/>
      <c r="AO526" s="25"/>
      <c r="AP526" s="25"/>
      <c r="AQ526" s="137"/>
      <c r="AW526" s="116"/>
      <c r="AX526" s="116"/>
      <c r="AY526" s="116"/>
      <c r="AZ526" s="137"/>
      <c r="BC526" s="136"/>
      <c r="BD526" s="136"/>
      <c r="BE526" s="136"/>
      <c r="BF526" s="136"/>
      <c r="BG526" s="136"/>
      <c r="BH526" s="136"/>
      <c r="BI526" s="136"/>
    </row>
    <row r="527" spans="8:61" ht="12">
      <c r="H527" s="88"/>
      <c r="I527" s="88"/>
      <c r="J527" s="88"/>
      <c r="K527" s="88"/>
      <c r="L527" s="88"/>
      <c r="M527" s="88"/>
      <c r="N527" s="88"/>
      <c r="O527" s="88"/>
      <c r="P527" s="89"/>
      <c r="AH527" s="137"/>
      <c r="AI527" s="25"/>
      <c r="AJ527" s="25"/>
      <c r="AK527" s="25"/>
      <c r="AL527" s="25"/>
      <c r="AM527" s="25"/>
      <c r="AN527" s="25"/>
      <c r="AO527" s="25"/>
      <c r="AP527" s="25"/>
      <c r="AQ527" s="137"/>
      <c r="AW527" s="116"/>
      <c r="AX527" s="116"/>
      <c r="AY527" s="116"/>
      <c r="AZ527" s="137"/>
      <c r="BC527" s="136"/>
      <c r="BD527" s="136"/>
      <c r="BE527" s="136"/>
      <c r="BF527" s="136"/>
      <c r="BG527" s="136"/>
      <c r="BH527" s="136"/>
      <c r="BI527" s="136"/>
    </row>
    <row r="528" spans="8:61" ht="12">
      <c r="H528" s="88"/>
      <c r="I528" s="88"/>
      <c r="J528" s="88"/>
      <c r="K528" s="88"/>
      <c r="L528" s="88"/>
      <c r="M528" s="88"/>
      <c r="N528" s="88"/>
      <c r="O528" s="88"/>
      <c r="P528" s="89"/>
      <c r="AI528" s="25"/>
      <c r="AJ528" s="25"/>
      <c r="AK528" s="25"/>
      <c r="AL528" s="25"/>
      <c r="AM528" s="25"/>
      <c r="AN528" s="25"/>
      <c r="AO528" s="25"/>
      <c r="AP528" s="25"/>
      <c r="AZ528" s="137"/>
      <c r="BI528" s="137"/>
    </row>
    <row r="529" spans="8:61" ht="12">
      <c r="H529" s="88"/>
      <c r="I529" s="88"/>
      <c r="J529" s="88"/>
      <c r="K529" s="88"/>
      <c r="L529" s="88"/>
      <c r="M529" s="88"/>
      <c r="N529" s="88"/>
      <c r="O529" s="88"/>
      <c r="P529" s="89"/>
      <c r="AI529" s="25"/>
      <c r="AJ529" s="25"/>
      <c r="AK529" s="25"/>
      <c r="AL529" s="25"/>
      <c r="AM529" s="25"/>
      <c r="AN529" s="25"/>
      <c r="AO529" s="25"/>
      <c r="AP529" s="25"/>
      <c r="AZ529" s="137"/>
      <c r="BI529" s="137"/>
    </row>
    <row r="530" spans="8:61" ht="12.75" customHeight="1">
      <c r="H530" s="88"/>
      <c r="I530" s="88"/>
      <c r="J530" s="88"/>
      <c r="K530" s="88"/>
      <c r="L530" s="88"/>
      <c r="M530" s="88"/>
      <c r="N530" s="88"/>
      <c r="O530" s="88"/>
      <c r="P530" s="89"/>
      <c r="U530" s="145" t="s">
        <v>229</v>
      </c>
      <c r="AI530" s="25"/>
      <c r="AJ530" s="25"/>
      <c r="AK530" s="25"/>
      <c r="AL530" s="25"/>
      <c r="AM530" s="145" t="s">
        <v>240</v>
      </c>
      <c r="AN530" s="25"/>
      <c r="AO530" s="25"/>
      <c r="AP530" s="25"/>
      <c r="AZ530" s="137"/>
      <c r="BE530" s="151" t="s">
        <v>251</v>
      </c>
      <c r="BI530" s="137"/>
    </row>
    <row r="531" spans="8:61" ht="12">
      <c r="H531" s="88"/>
      <c r="I531" s="88"/>
      <c r="J531" s="88"/>
      <c r="K531" s="88"/>
      <c r="L531" s="88"/>
      <c r="M531" s="88"/>
      <c r="N531" s="88"/>
      <c r="O531" s="88"/>
      <c r="P531" s="88"/>
      <c r="Q531" s="23" t="s">
        <v>130</v>
      </c>
      <c r="R531" s="23"/>
      <c r="S531" s="23"/>
      <c r="T531" s="23"/>
      <c r="U531" s="23"/>
      <c r="V531" s="23"/>
      <c r="W531" s="23"/>
      <c r="X531" s="23"/>
      <c r="Y531" s="136"/>
      <c r="Z531" s="23" t="s">
        <v>146</v>
      </c>
      <c r="AA531" s="23"/>
      <c r="AB531" s="23"/>
      <c r="AC531" s="23"/>
      <c r="AD531" s="23"/>
      <c r="AE531" s="23"/>
      <c r="AF531" s="23"/>
      <c r="AG531" s="23"/>
      <c r="AH531" s="136"/>
      <c r="AI531" s="23" t="s">
        <v>146</v>
      </c>
      <c r="AJ531" s="23"/>
      <c r="AK531" s="23"/>
      <c r="AL531" s="23"/>
      <c r="AM531" s="23"/>
      <c r="AN531" s="23"/>
      <c r="AO531" s="23"/>
      <c r="AP531" s="23"/>
      <c r="AQ531" s="136"/>
      <c r="AR531" s="59" t="s">
        <v>166</v>
      </c>
      <c r="AS531" s="59"/>
      <c r="AT531" s="59"/>
      <c r="AU531" s="59"/>
      <c r="AV531" s="59"/>
      <c r="AW531" s="59"/>
      <c r="AX531" s="59"/>
      <c r="AY531" s="59"/>
      <c r="AZ531" s="136"/>
      <c r="BA531" s="136" t="s">
        <v>166</v>
      </c>
      <c r="BB531" s="136"/>
      <c r="BI531" s="137"/>
    </row>
    <row r="532" spans="34:61" ht="12">
      <c r="AH532" s="137"/>
      <c r="AI532" s="22" t="s">
        <v>220</v>
      </c>
      <c r="AJ532" s="25"/>
      <c r="AK532" s="25"/>
      <c r="AL532" s="25"/>
      <c r="AM532" s="25"/>
      <c r="AN532" s="25"/>
      <c r="AO532" s="25"/>
      <c r="AP532" s="25"/>
      <c r="AQ532" s="137"/>
      <c r="AR532" s="60"/>
      <c r="AS532" s="60"/>
      <c r="AT532" s="60"/>
      <c r="AU532" s="60"/>
      <c r="AV532" s="60"/>
      <c r="AW532" s="60"/>
      <c r="AX532" s="60"/>
      <c r="AY532" s="60"/>
      <c r="AZ532" s="137"/>
      <c r="BA532" s="139" t="s">
        <v>220</v>
      </c>
      <c r="BI532" s="137"/>
    </row>
    <row r="533" spans="17:61" ht="12">
      <c r="Q533" s="25" t="s">
        <v>22</v>
      </c>
      <c r="Z533" s="25" t="s">
        <v>22</v>
      </c>
      <c r="AH533" s="137"/>
      <c r="AI533" s="25" t="s">
        <v>22</v>
      </c>
      <c r="AJ533" s="25"/>
      <c r="AK533" s="25"/>
      <c r="AL533" s="25"/>
      <c r="AM533" s="25"/>
      <c r="AN533" s="25"/>
      <c r="AO533" s="25"/>
      <c r="AP533" s="25"/>
      <c r="AQ533" s="137"/>
      <c r="AR533" s="60" t="s">
        <v>22</v>
      </c>
      <c r="AS533" s="60"/>
      <c r="AT533" s="60"/>
      <c r="AU533" s="60"/>
      <c r="AV533" s="60"/>
      <c r="AW533" s="60"/>
      <c r="AX533" s="60"/>
      <c r="AY533" s="60"/>
      <c r="AZ533" s="137"/>
      <c r="BA533" s="133" t="s">
        <v>22</v>
      </c>
      <c r="BD533" s="25"/>
      <c r="BE533" s="25"/>
      <c r="BF533" s="25"/>
      <c r="BG533" s="25"/>
      <c r="BH533" s="25"/>
      <c r="BI533" s="25"/>
    </row>
    <row r="534" spans="17:61" ht="12">
      <c r="Q534" s="25" t="s">
        <v>114</v>
      </c>
      <c r="Z534" s="25" t="s">
        <v>114</v>
      </c>
      <c r="AH534" s="137"/>
      <c r="AI534" s="25" t="s">
        <v>114</v>
      </c>
      <c r="AJ534" s="25"/>
      <c r="AK534" s="25"/>
      <c r="AL534" s="25"/>
      <c r="AM534" s="25"/>
      <c r="AN534" s="25"/>
      <c r="AO534" s="25"/>
      <c r="AP534" s="25"/>
      <c r="AQ534" s="137"/>
      <c r="AR534" s="60" t="s">
        <v>114</v>
      </c>
      <c r="AS534" s="60"/>
      <c r="AT534" s="60"/>
      <c r="AU534" s="60"/>
      <c r="AV534" s="60"/>
      <c r="AW534" s="60"/>
      <c r="AX534" s="60"/>
      <c r="AY534" s="60"/>
      <c r="AZ534" s="137"/>
      <c r="BA534" s="133" t="s">
        <v>114</v>
      </c>
      <c r="BD534" s="25"/>
      <c r="BE534" s="25"/>
      <c r="BF534" s="25"/>
      <c r="BG534" s="25"/>
      <c r="BH534" s="25"/>
      <c r="BI534" s="25"/>
    </row>
    <row r="535" spans="17:61" ht="12">
      <c r="Q535" s="25" t="s">
        <v>52</v>
      </c>
      <c r="Z535" s="25" t="s">
        <v>52</v>
      </c>
      <c r="AH535" s="137"/>
      <c r="AI535" s="25" t="s">
        <v>52</v>
      </c>
      <c r="AJ535" s="25"/>
      <c r="AK535" s="25"/>
      <c r="AL535" s="25"/>
      <c r="AM535" s="25"/>
      <c r="AN535" s="25"/>
      <c r="AO535" s="25"/>
      <c r="AP535" s="25"/>
      <c r="AQ535" s="137"/>
      <c r="AR535" s="60" t="s">
        <v>52</v>
      </c>
      <c r="AS535" s="60"/>
      <c r="AT535" s="60"/>
      <c r="AU535" s="60"/>
      <c r="AV535" s="60"/>
      <c r="AW535" s="60"/>
      <c r="AX535" s="60"/>
      <c r="AY535" s="60"/>
      <c r="AZ535" s="137"/>
      <c r="BA535" s="133" t="s">
        <v>52</v>
      </c>
      <c r="BD535" s="25"/>
      <c r="BE535" s="25"/>
      <c r="BF535" s="25"/>
      <c r="BG535" s="25"/>
      <c r="BH535" s="25"/>
      <c r="BI535" s="25"/>
    </row>
    <row r="536" spans="34:61" ht="12">
      <c r="AH536" s="137"/>
      <c r="AI536" s="25"/>
      <c r="AJ536" s="25"/>
      <c r="AK536" s="25"/>
      <c r="AL536" s="25"/>
      <c r="AM536" s="25"/>
      <c r="AN536" s="25"/>
      <c r="AO536" s="25"/>
      <c r="AP536" s="25"/>
      <c r="AQ536" s="137"/>
      <c r="AR536" s="60"/>
      <c r="AS536" s="60"/>
      <c r="AT536" s="60"/>
      <c r="AU536" s="60"/>
      <c r="AV536" s="60"/>
      <c r="AW536" s="60"/>
      <c r="AX536" s="60"/>
      <c r="AY536" s="60"/>
      <c r="AZ536" s="137"/>
      <c r="BC536" s="25"/>
      <c r="BD536" s="25"/>
      <c r="BE536" s="25"/>
      <c r="BF536" s="25"/>
      <c r="BG536" s="25"/>
      <c r="BH536" s="25"/>
      <c r="BI536" s="25"/>
    </row>
    <row r="537" spans="20:61" ht="12">
      <c r="T537" s="28" t="s">
        <v>25</v>
      </c>
      <c r="U537" s="28" t="s">
        <v>25</v>
      </c>
      <c r="V537" s="28" t="s">
        <v>25</v>
      </c>
      <c r="W537" s="28" t="s">
        <v>25</v>
      </c>
      <c r="X537" s="28" t="s">
        <v>25</v>
      </c>
      <c r="Y537" s="138"/>
      <c r="AC537" s="28" t="s">
        <v>25</v>
      </c>
      <c r="AD537" s="28" t="s">
        <v>25</v>
      </c>
      <c r="AE537" s="28" t="s">
        <v>25</v>
      </c>
      <c r="AF537" s="28" t="s">
        <v>25</v>
      </c>
      <c r="AG537" s="28" t="s">
        <v>25</v>
      </c>
      <c r="AH537" s="138"/>
      <c r="AI537" s="25"/>
      <c r="AJ537" s="25"/>
      <c r="AK537" s="25"/>
      <c r="AL537" s="28" t="s">
        <v>25</v>
      </c>
      <c r="AM537" s="28" t="s">
        <v>25</v>
      </c>
      <c r="AN537" s="28" t="s">
        <v>25</v>
      </c>
      <c r="AO537" s="28" t="s">
        <v>25</v>
      </c>
      <c r="AP537" s="28" t="s">
        <v>25</v>
      </c>
      <c r="AQ537" s="138"/>
      <c r="AR537" s="60"/>
      <c r="AS537" s="60"/>
      <c r="AT537" s="60"/>
      <c r="AU537" s="62" t="s">
        <v>25</v>
      </c>
      <c r="AV537" s="62" t="s">
        <v>25</v>
      </c>
      <c r="AW537" s="62" t="s">
        <v>25</v>
      </c>
      <c r="AX537" s="62" t="s">
        <v>25</v>
      </c>
      <c r="AY537" s="62" t="s">
        <v>25</v>
      </c>
      <c r="AZ537" s="138"/>
      <c r="BC537" s="25"/>
      <c r="BD537" s="143" t="s">
        <v>25</v>
      </c>
      <c r="BE537" s="143" t="s">
        <v>25</v>
      </c>
      <c r="BF537" s="143" t="s">
        <v>25</v>
      </c>
      <c r="BG537" s="143" t="s">
        <v>25</v>
      </c>
      <c r="BH537" s="143" t="s">
        <v>25</v>
      </c>
      <c r="BI537" s="138"/>
    </row>
    <row r="538" spans="20:61" ht="12">
      <c r="T538" s="28">
        <v>2006</v>
      </c>
      <c r="U538" s="28">
        <v>2005</v>
      </c>
      <c r="V538" s="28">
        <v>2004</v>
      </c>
      <c r="W538" s="28">
        <v>2003</v>
      </c>
      <c r="X538" s="28">
        <v>2002</v>
      </c>
      <c r="Y538" s="138" t="s">
        <v>117</v>
      </c>
      <c r="AC538" s="28">
        <v>2006</v>
      </c>
      <c r="AD538" s="28">
        <v>2005</v>
      </c>
      <c r="AE538" s="28">
        <v>2004</v>
      </c>
      <c r="AF538" s="28">
        <v>2003</v>
      </c>
      <c r="AG538" s="28">
        <v>2002</v>
      </c>
      <c r="AH538" s="138" t="s">
        <v>117</v>
      </c>
      <c r="AI538" s="25"/>
      <c r="AJ538" s="25"/>
      <c r="AK538" s="25"/>
      <c r="AL538" s="28">
        <v>2006</v>
      </c>
      <c r="AM538" s="28">
        <v>2005</v>
      </c>
      <c r="AN538" s="28">
        <v>2004</v>
      </c>
      <c r="AO538" s="28">
        <v>2003</v>
      </c>
      <c r="AP538" s="28">
        <v>2002</v>
      </c>
      <c r="AQ538" s="138" t="s">
        <v>117</v>
      </c>
      <c r="AR538" s="60"/>
      <c r="AS538" s="60"/>
      <c r="AT538" s="60"/>
      <c r="AU538" s="62">
        <v>2006</v>
      </c>
      <c r="AV538" s="62">
        <v>2005</v>
      </c>
      <c r="AW538" s="62">
        <v>2004</v>
      </c>
      <c r="AX538" s="62">
        <v>2003</v>
      </c>
      <c r="AY538" s="62">
        <v>2002</v>
      </c>
      <c r="AZ538" s="138" t="s">
        <v>117</v>
      </c>
      <c r="BC538" s="25"/>
      <c r="BD538" s="143">
        <v>2006</v>
      </c>
      <c r="BE538" s="143">
        <v>2005</v>
      </c>
      <c r="BF538" s="143">
        <v>2004</v>
      </c>
      <c r="BG538" s="143">
        <v>2003</v>
      </c>
      <c r="BH538" s="143">
        <v>2002</v>
      </c>
      <c r="BI538" s="138" t="s">
        <v>117</v>
      </c>
    </row>
    <row r="539" spans="20:61" ht="12">
      <c r="T539" s="28" t="s">
        <v>71</v>
      </c>
      <c r="U539" s="28" t="s">
        <v>71</v>
      </c>
      <c r="V539" s="28" t="s">
        <v>71</v>
      </c>
      <c r="W539" s="28" t="s">
        <v>71</v>
      </c>
      <c r="X539" s="28" t="s">
        <v>71</v>
      </c>
      <c r="Y539" s="138" t="s">
        <v>71</v>
      </c>
      <c r="AC539" s="28" t="s">
        <v>71</v>
      </c>
      <c r="AD539" s="28" t="s">
        <v>71</v>
      </c>
      <c r="AE539" s="28" t="s">
        <v>71</v>
      </c>
      <c r="AF539" s="28" t="s">
        <v>71</v>
      </c>
      <c r="AG539" s="28" t="s">
        <v>71</v>
      </c>
      <c r="AH539" s="138" t="s">
        <v>71</v>
      </c>
      <c r="AI539" s="25"/>
      <c r="AJ539" s="25"/>
      <c r="AK539" s="25"/>
      <c r="AL539" s="28" t="s">
        <v>71</v>
      </c>
      <c r="AM539" s="28" t="s">
        <v>71</v>
      </c>
      <c r="AN539" s="28" t="s">
        <v>71</v>
      </c>
      <c r="AO539" s="28" t="s">
        <v>71</v>
      </c>
      <c r="AP539" s="28" t="s">
        <v>71</v>
      </c>
      <c r="AQ539" s="138" t="s">
        <v>71</v>
      </c>
      <c r="AR539" s="60"/>
      <c r="AS539" s="60"/>
      <c r="AT539" s="60"/>
      <c r="AU539" s="62" t="s">
        <v>71</v>
      </c>
      <c r="AV539" s="62" t="s">
        <v>71</v>
      </c>
      <c r="AW539" s="62" t="s">
        <v>71</v>
      </c>
      <c r="AX539" s="62" t="s">
        <v>71</v>
      </c>
      <c r="AY539" s="62" t="s">
        <v>71</v>
      </c>
      <c r="AZ539" s="138" t="s">
        <v>71</v>
      </c>
      <c r="BC539" s="25"/>
      <c r="BD539" s="143" t="s">
        <v>71</v>
      </c>
      <c r="BE539" s="143" t="s">
        <v>71</v>
      </c>
      <c r="BF539" s="143" t="s">
        <v>71</v>
      </c>
      <c r="BG539" s="143" t="s">
        <v>71</v>
      </c>
      <c r="BH539" s="143" t="s">
        <v>71</v>
      </c>
      <c r="BI539" s="138" t="s">
        <v>71</v>
      </c>
    </row>
    <row r="540" spans="19:61" ht="12">
      <c r="S540" s="22" t="s">
        <v>219</v>
      </c>
      <c r="T540" s="28" t="s">
        <v>38</v>
      </c>
      <c r="U540" s="28" t="s">
        <v>38</v>
      </c>
      <c r="V540" s="28" t="s">
        <v>38</v>
      </c>
      <c r="W540" s="28" t="s">
        <v>38</v>
      </c>
      <c r="X540" s="28" t="s">
        <v>38</v>
      </c>
      <c r="Y540" s="143" t="s">
        <v>38</v>
      </c>
      <c r="AB540" s="22" t="s">
        <v>219</v>
      </c>
      <c r="AC540" s="28" t="s">
        <v>68</v>
      </c>
      <c r="AD540" s="28" t="s">
        <v>68</v>
      </c>
      <c r="AE540" s="28" t="s">
        <v>68</v>
      </c>
      <c r="AF540" s="28" t="s">
        <v>68</v>
      </c>
      <c r="AG540" s="28" t="s">
        <v>68</v>
      </c>
      <c r="AH540" s="138" t="s">
        <v>68</v>
      </c>
      <c r="AI540" s="25"/>
      <c r="AJ540" s="25"/>
      <c r="AK540" s="22" t="s">
        <v>219</v>
      </c>
      <c r="AL540" s="28" t="s">
        <v>38</v>
      </c>
      <c r="AM540" s="28" t="s">
        <v>38</v>
      </c>
      <c r="AN540" s="28" t="s">
        <v>38</v>
      </c>
      <c r="AO540" s="28" t="s">
        <v>38</v>
      </c>
      <c r="AP540" s="28" t="s">
        <v>38</v>
      </c>
      <c r="AQ540" s="143" t="s">
        <v>38</v>
      </c>
      <c r="AR540" s="60"/>
      <c r="AS540" s="60"/>
      <c r="AT540" s="64" t="s">
        <v>219</v>
      </c>
      <c r="AU540" s="62" t="s">
        <v>68</v>
      </c>
      <c r="AV540" s="62" t="s">
        <v>68</v>
      </c>
      <c r="AW540" s="62" t="s">
        <v>68</v>
      </c>
      <c r="AX540" s="62" t="s">
        <v>68</v>
      </c>
      <c r="AY540" s="62" t="s">
        <v>68</v>
      </c>
      <c r="AZ540" s="138" t="s">
        <v>68</v>
      </c>
      <c r="BC540" s="139" t="s">
        <v>219</v>
      </c>
      <c r="BD540" s="143" t="s">
        <v>38</v>
      </c>
      <c r="BE540" s="143" t="s">
        <v>38</v>
      </c>
      <c r="BF540" s="143" t="s">
        <v>38</v>
      </c>
      <c r="BG540" s="143" t="s">
        <v>38</v>
      </c>
      <c r="BH540" s="143" t="s">
        <v>38</v>
      </c>
      <c r="BI540" s="143" t="s">
        <v>38</v>
      </c>
    </row>
    <row r="541" spans="17:61" ht="12">
      <c r="Q541" s="25" t="s">
        <v>26</v>
      </c>
      <c r="R541" s="22"/>
      <c r="S541" s="132">
        <f>T541-X541</f>
        <v>404</v>
      </c>
      <c r="T541" s="42">
        <v>1458</v>
      </c>
      <c r="U541" s="42">
        <v>1468</v>
      </c>
      <c r="V541" s="42">
        <v>1268</v>
      </c>
      <c r="W541" s="42">
        <v>1079</v>
      </c>
      <c r="X541" s="42">
        <v>1054</v>
      </c>
      <c r="Y541" s="53">
        <f>AVERAGE(T541:X541)</f>
        <v>1265.4</v>
      </c>
      <c r="Z541" s="25" t="s">
        <v>26</v>
      </c>
      <c r="AA541" s="22"/>
      <c r="AB541" s="132">
        <f>AC541-AG541</f>
        <v>37</v>
      </c>
      <c r="AC541" s="42">
        <v>112</v>
      </c>
      <c r="AD541" s="42">
        <v>123</v>
      </c>
      <c r="AE541" s="42">
        <v>184</v>
      </c>
      <c r="AF541" s="42">
        <v>61</v>
      </c>
      <c r="AG541" s="42">
        <v>75</v>
      </c>
      <c r="AH541" s="53">
        <f>AVERAGE(AC541:AG541)</f>
        <v>111</v>
      </c>
      <c r="AI541" s="25" t="s">
        <v>26</v>
      </c>
      <c r="AJ541" s="22"/>
      <c r="AK541" s="132">
        <f>AL541-AP541</f>
        <v>74</v>
      </c>
      <c r="AL541" s="42">
        <f aca="true" t="shared" si="253" ref="AL541:AP545">2*AC541</f>
        <v>224</v>
      </c>
      <c r="AM541" s="42">
        <f t="shared" si="253"/>
        <v>246</v>
      </c>
      <c r="AN541" s="42">
        <f t="shared" si="253"/>
        <v>368</v>
      </c>
      <c r="AO541" s="42">
        <f t="shared" si="253"/>
        <v>122</v>
      </c>
      <c r="AP541" s="42">
        <f t="shared" si="253"/>
        <v>150</v>
      </c>
      <c r="AQ541" s="53">
        <f>AVERAGE(AL541:AP541)</f>
        <v>222</v>
      </c>
      <c r="AR541" s="60" t="s">
        <v>26</v>
      </c>
      <c r="AS541" s="64"/>
      <c r="AT541" s="134">
        <f>AU541-AY541</f>
        <v>-1402</v>
      </c>
      <c r="AU541" s="65">
        <v>606</v>
      </c>
      <c r="AV541" s="65">
        <v>957</v>
      </c>
      <c r="AW541" s="65">
        <v>1410</v>
      </c>
      <c r="AX541" s="65">
        <v>1677</v>
      </c>
      <c r="AY541" s="65">
        <v>2008</v>
      </c>
      <c r="AZ541" s="53">
        <f>AVERAGE(AU541:AY541)</f>
        <v>1331.6</v>
      </c>
      <c r="BA541" s="133" t="s">
        <v>26</v>
      </c>
      <c r="BB541" s="139"/>
      <c r="BC541" s="146">
        <f>BD541-BH541</f>
        <v>-2804</v>
      </c>
      <c r="BD541" s="147">
        <f aca="true" t="shared" si="254" ref="BD541:BH545">2*AU541</f>
        <v>1212</v>
      </c>
      <c r="BE541" s="147">
        <f t="shared" si="254"/>
        <v>1914</v>
      </c>
      <c r="BF541" s="147">
        <f t="shared" si="254"/>
        <v>2820</v>
      </c>
      <c r="BG541" s="147">
        <f t="shared" si="254"/>
        <v>3354</v>
      </c>
      <c r="BH541" s="147">
        <f t="shared" si="254"/>
        <v>4016</v>
      </c>
      <c r="BI541" s="53">
        <f>AVERAGE(BD541:BH541)</f>
        <v>2663.2</v>
      </c>
    </row>
    <row r="542" spans="17:61" ht="12">
      <c r="Q542" s="25" t="s">
        <v>93</v>
      </c>
      <c r="S542" s="132">
        <f>T542-X542</f>
        <v>7306</v>
      </c>
      <c r="T542" s="42">
        <v>11603</v>
      </c>
      <c r="U542" s="42">
        <v>11799</v>
      </c>
      <c r="V542" s="42">
        <v>4658</v>
      </c>
      <c r="W542" s="42">
        <v>4445</v>
      </c>
      <c r="X542" s="42">
        <v>4297</v>
      </c>
      <c r="Y542" s="53">
        <f>AVERAGE(T542:X542)</f>
        <v>7360.4</v>
      </c>
      <c r="Z542" s="25" t="s">
        <v>93</v>
      </c>
      <c r="AB542" s="132">
        <f>AC542-AG542</f>
        <v>-3</v>
      </c>
      <c r="AC542" s="42">
        <v>219</v>
      </c>
      <c r="AD542" s="42">
        <v>244</v>
      </c>
      <c r="AE542" s="42">
        <f>111+AE541</f>
        <v>295</v>
      </c>
      <c r="AF542" s="42">
        <f>146+AF541</f>
        <v>207</v>
      </c>
      <c r="AG542" s="42">
        <f>147+AG541</f>
        <v>222</v>
      </c>
      <c r="AH542" s="53">
        <f>AVERAGE(AC542:AG542)</f>
        <v>237.4</v>
      </c>
      <c r="AI542" s="25" t="s">
        <v>93</v>
      </c>
      <c r="AJ542" s="25"/>
      <c r="AK542" s="132">
        <f>AL542-AP542</f>
        <v>-6</v>
      </c>
      <c r="AL542" s="42">
        <f t="shared" si="253"/>
        <v>438</v>
      </c>
      <c r="AM542" s="42">
        <f t="shared" si="253"/>
        <v>488</v>
      </c>
      <c r="AN542" s="42">
        <f t="shared" si="253"/>
        <v>590</v>
      </c>
      <c r="AO542" s="42">
        <f t="shared" si="253"/>
        <v>414</v>
      </c>
      <c r="AP542" s="42">
        <f t="shared" si="253"/>
        <v>444</v>
      </c>
      <c r="AQ542" s="53">
        <f>AVERAGE(AL542:AP542)</f>
        <v>474.8</v>
      </c>
      <c r="AR542" s="60" t="s">
        <v>93</v>
      </c>
      <c r="AS542" s="60"/>
      <c r="AT542" s="134">
        <f>AU542-AY542</f>
        <v>-1536</v>
      </c>
      <c r="AU542" s="65">
        <v>1920</v>
      </c>
      <c r="AV542" s="65">
        <v>2137</v>
      </c>
      <c r="AW542" s="65">
        <v>2580</v>
      </c>
      <c r="AX542" s="65">
        <f>1192+AX541</f>
        <v>2869</v>
      </c>
      <c r="AY542" s="65">
        <f>1448+AY541</f>
        <v>3456</v>
      </c>
      <c r="AZ542" s="53">
        <f>AVERAGE(AU542:AY542)</f>
        <v>2592.4</v>
      </c>
      <c r="BA542" s="133" t="s">
        <v>93</v>
      </c>
      <c r="BC542" s="146">
        <f>BD542-BH542</f>
        <v>-3072</v>
      </c>
      <c r="BD542" s="147">
        <f t="shared" si="254"/>
        <v>3840</v>
      </c>
      <c r="BE542" s="147">
        <f t="shared" si="254"/>
        <v>4274</v>
      </c>
      <c r="BF542" s="147">
        <f t="shared" si="254"/>
        <v>5160</v>
      </c>
      <c r="BG542" s="147">
        <f t="shared" si="254"/>
        <v>5738</v>
      </c>
      <c r="BH542" s="147">
        <f t="shared" si="254"/>
        <v>6912</v>
      </c>
      <c r="BI542" s="53">
        <f>AVERAGE(BD542:BH542)</f>
        <v>5184.8</v>
      </c>
    </row>
    <row r="543" spans="17:61" ht="12">
      <c r="Q543" s="25" t="s">
        <v>72</v>
      </c>
      <c r="S543" s="132">
        <f>T543-X543</f>
        <v>652</v>
      </c>
      <c r="T543" s="42">
        <v>1800</v>
      </c>
      <c r="U543" s="42">
        <v>2237</v>
      </c>
      <c r="V543" s="42">
        <v>1177</v>
      </c>
      <c r="W543" s="42">
        <v>1134</v>
      </c>
      <c r="X543" s="42">
        <v>1148</v>
      </c>
      <c r="Y543" s="53">
        <f>AVERAGE(T543:X543)</f>
        <v>1499.2</v>
      </c>
      <c r="Z543" s="25" t="s">
        <v>72</v>
      </c>
      <c r="AB543" s="132">
        <f>AC543-AG543</f>
        <v>6</v>
      </c>
      <c r="AC543" s="42">
        <v>42</v>
      </c>
      <c r="AD543" s="42">
        <v>53</v>
      </c>
      <c r="AE543" s="42">
        <v>39</v>
      </c>
      <c r="AF543" s="42">
        <v>34</v>
      </c>
      <c r="AG543" s="42">
        <v>36</v>
      </c>
      <c r="AH543" s="53">
        <f>AVERAGE(AC543:AG543)</f>
        <v>40.8</v>
      </c>
      <c r="AI543" s="25" t="s">
        <v>72</v>
      </c>
      <c r="AJ543" s="25"/>
      <c r="AK543" s="132">
        <f>AL543-AP543</f>
        <v>12</v>
      </c>
      <c r="AL543" s="42">
        <f t="shared" si="253"/>
        <v>84</v>
      </c>
      <c r="AM543" s="42">
        <f t="shared" si="253"/>
        <v>106</v>
      </c>
      <c r="AN543" s="42">
        <f t="shared" si="253"/>
        <v>78</v>
      </c>
      <c r="AO543" s="42">
        <f t="shared" si="253"/>
        <v>68</v>
      </c>
      <c r="AP543" s="42">
        <f t="shared" si="253"/>
        <v>72</v>
      </c>
      <c r="AQ543" s="53">
        <f>AVERAGE(AL543:AP543)</f>
        <v>81.6</v>
      </c>
      <c r="AR543" s="60" t="s">
        <v>72</v>
      </c>
      <c r="AS543" s="60"/>
      <c r="AT543" s="134">
        <f>AU543-AY543</f>
        <v>-1285</v>
      </c>
      <c r="AU543" s="65">
        <v>913</v>
      </c>
      <c r="AV543" s="65">
        <v>797</v>
      </c>
      <c r="AW543" s="65">
        <v>1249</v>
      </c>
      <c r="AX543" s="65">
        <v>1766</v>
      </c>
      <c r="AY543" s="65">
        <v>2198</v>
      </c>
      <c r="AZ543" s="53">
        <f>AVERAGE(AU543:AY543)</f>
        <v>1384.6</v>
      </c>
      <c r="BA543" s="133" t="s">
        <v>72</v>
      </c>
      <c r="BC543" s="146">
        <f>BD543-BH543</f>
        <v>-2570</v>
      </c>
      <c r="BD543" s="147">
        <f t="shared" si="254"/>
        <v>1826</v>
      </c>
      <c r="BE543" s="147">
        <f t="shared" si="254"/>
        <v>1594</v>
      </c>
      <c r="BF543" s="147">
        <f t="shared" si="254"/>
        <v>2498</v>
      </c>
      <c r="BG543" s="147">
        <f t="shared" si="254"/>
        <v>3532</v>
      </c>
      <c r="BH543" s="147">
        <f t="shared" si="254"/>
        <v>4396</v>
      </c>
      <c r="BI543" s="53">
        <f>AVERAGE(BD543:BH543)</f>
        <v>2769.2</v>
      </c>
    </row>
    <row r="544" spans="17:61" ht="12">
      <c r="Q544" s="25" t="s">
        <v>35</v>
      </c>
      <c r="S544" s="132">
        <f>T544-X544</f>
        <v>2423</v>
      </c>
      <c r="T544" s="42">
        <v>5739</v>
      </c>
      <c r="U544" s="42">
        <v>6391</v>
      </c>
      <c r="V544" s="42">
        <v>3019</v>
      </c>
      <c r="W544" s="42">
        <v>3177</v>
      </c>
      <c r="X544" s="42">
        <v>3316</v>
      </c>
      <c r="Y544" s="53">
        <f>AVERAGE(T544:X544)</f>
        <v>4328.4</v>
      </c>
      <c r="Z544" s="25" t="s">
        <v>35</v>
      </c>
      <c r="AB544" s="132">
        <f>AC544-AG544</f>
        <v>-4</v>
      </c>
      <c r="AC544" s="42">
        <v>47</v>
      </c>
      <c r="AD544" s="42">
        <v>59</v>
      </c>
      <c r="AE544" s="42">
        <f>10+AE543</f>
        <v>49</v>
      </c>
      <c r="AF544" s="42">
        <f>5+10+AF543</f>
        <v>49</v>
      </c>
      <c r="AG544" s="42">
        <f>5+10+AG543</f>
        <v>51</v>
      </c>
      <c r="AH544" s="53">
        <f>AVERAGE(AC544:AG544)</f>
        <v>51</v>
      </c>
      <c r="AI544" s="25" t="s">
        <v>35</v>
      </c>
      <c r="AJ544" s="25"/>
      <c r="AK544" s="132">
        <f>AL544-AP544</f>
        <v>-8</v>
      </c>
      <c r="AL544" s="42">
        <f t="shared" si="253"/>
        <v>94</v>
      </c>
      <c r="AM544" s="42">
        <f t="shared" si="253"/>
        <v>118</v>
      </c>
      <c r="AN544" s="42">
        <f t="shared" si="253"/>
        <v>98</v>
      </c>
      <c r="AO544" s="42">
        <f t="shared" si="253"/>
        <v>98</v>
      </c>
      <c r="AP544" s="42">
        <f t="shared" si="253"/>
        <v>102</v>
      </c>
      <c r="AQ544" s="53">
        <f>AVERAGE(AL544:AP544)</f>
        <v>102</v>
      </c>
      <c r="AR544" s="60" t="s">
        <v>35</v>
      </c>
      <c r="AS544" s="60"/>
      <c r="AT544" s="134">
        <f>AU544-AY544</f>
        <v>-1049</v>
      </c>
      <c r="AU544" s="65">
        <v>1748</v>
      </c>
      <c r="AV544" s="65">
        <v>1626</v>
      </c>
      <c r="AW544" s="65">
        <v>2010</v>
      </c>
      <c r="AX544" s="65">
        <f>425+63+33+175+AX543</f>
        <v>2462</v>
      </c>
      <c r="AY544" s="65">
        <f>354+59+27+159+AY543</f>
        <v>2797</v>
      </c>
      <c r="AZ544" s="53">
        <f>AVERAGE(AU544:AY544)</f>
        <v>2128.6</v>
      </c>
      <c r="BA544" s="133" t="s">
        <v>35</v>
      </c>
      <c r="BC544" s="146">
        <f>BD544-BH544</f>
        <v>-2098</v>
      </c>
      <c r="BD544" s="147">
        <f t="shared" si="254"/>
        <v>3496</v>
      </c>
      <c r="BE544" s="147">
        <f t="shared" si="254"/>
        <v>3252</v>
      </c>
      <c r="BF544" s="147">
        <f t="shared" si="254"/>
        <v>4020</v>
      </c>
      <c r="BG544" s="147">
        <f t="shared" si="254"/>
        <v>4924</v>
      </c>
      <c r="BH544" s="147">
        <f t="shared" si="254"/>
        <v>5594</v>
      </c>
      <c r="BI544" s="53">
        <f>AVERAGE(BD544:BH544)</f>
        <v>4257.2</v>
      </c>
    </row>
    <row r="545" spans="17:61" ht="12">
      <c r="Q545" s="25" t="s">
        <v>100</v>
      </c>
      <c r="S545" s="132">
        <f>T545-X545</f>
        <v>4835</v>
      </c>
      <c r="T545" s="42">
        <v>5817</v>
      </c>
      <c r="U545" s="42">
        <v>5325</v>
      </c>
      <c r="V545" s="42">
        <v>1601</v>
      </c>
      <c r="W545" s="42">
        <v>1267</v>
      </c>
      <c r="X545" s="42">
        <v>982</v>
      </c>
      <c r="Y545" s="53">
        <f>AVERAGE(T545:X545)</f>
        <v>2998.4</v>
      </c>
      <c r="Z545" s="25" t="s">
        <v>100</v>
      </c>
      <c r="AB545" s="132">
        <f>AC545-AG545</f>
        <v>2</v>
      </c>
      <c r="AC545" s="42">
        <v>172</v>
      </c>
      <c r="AD545" s="42">
        <v>185</v>
      </c>
      <c r="AE545" s="42">
        <v>245</v>
      </c>
      <c r="AF545" s="42">
        <v>157</v>
      </c>
      <c r="AG545" s="42">
        <v>170</v>
      </c>
      <c r="AH545" s="53">
        <f>AVERAGE(AC545:AG545)</f>
        <v>185.8</v>
      </c>
      <c r="AI545" s="25" t="s">
        <v>100</v>
      </c>
      <c r="AJ545" s="25"/>
      <c r="AK545" s="132">
        <f>AL545-AP545</f>
        <v>4</v>
      </c>
      <c r="AL545" s="42">
        <f t="shared" si="253"/>
        <v>344</v>
      </c>
      <c r="AM545" s="42">
        <f t="shared" si="253"/>
        <v>370</v>
      </c>
      <c r="AN545" s="42">
        <f t="shared" si="253"/>
        <v>490</v>
      </c>
      <c r="AO545" s="42">
        <f t="shared" si="253"/>
        <v>314</v>
      </c>
      <c r="AP545" s="42">
        <f t="shared" si="253"/>
        <v>340</v>
      </c>
      <c r="AQ545" s="53">
        <f>AVERAGE(AL545:AP545)</f>
        <v>371.6</v>
      </c>
      <c r="AR545" s="60" t="s">
        <v>100</v>
      </c>
      <c r="AS545" s="60"/>
      <c r="AT545" s="134">
        <f>AU545-AY545</f>
        <v>-487</v>
      </c>
      <c r="AU545" s="65">
        <v>172</v>
      </c>
      <c r="AV545" s="65">
        <v>511</v>
      </c>
      <c r="AW545" s="65">
        <v>570</v>
      </c>
      <c r="AX545" s="65">
        <v>407</v>
      </c>
      <c r="AY545" s="65">
        <v>659</v>
      </c>
      <c r="AZ545" s="53">
        <f>AVERAGE(AU545:AY545)</f>
        <v>463.8</v>
      </c>
      <c r="BA545" s="133" t="s">
        <v>100</v>
      </c>
      <c r="BC545" s="146">
        <f>BD545-BH545</f>
        <v>-974</v>
      </c>
      <c r="BD545" s="147">
        <f t="shared" si="254"/>
        <v>344</v>
      </c>
      <c r="BE545" s="147">
        <f t="shared" si="254"/>
        <v>1022</v>
      </c>
      <c r="BF545" s="147">
        <f t="shared" si="254"/>
        <v>1140</v>
      </c>
      <c r="BG545" s="147">
        <f t="shared" si="254"/>
        <v>814</v>
      </c>
      <c r="BH545" s="147">
        <f t="shared" si="254"/>
        <v>1318</v>
      </c>
      <c r="BI545" s="53">
        <f>AVERAGE(BD545:BH545)</f>
        <v>927.6</v>
      </c>
    </row>
    <row r="546" spans="17:61" ht="12">
      <c r="Q546" s="22"/>
      <c r="R546" s="22"/>
      <c r="S546" s="22"/>
      <c r="T546" s="42"/>
      <c r="U546" s="42"/>
      <c r="V546" s="42"/>
      <c r="W546" s="42"/>
      <c r="X546" s="42"/>
      <c r="Y546" s="53"/>
      <c r="Z546" s="22"/>
      <c r="AA546" s="22"/>
      <c r="AB546" s="22"/>
      <c r="AC546" s="42"/>
      <c r="AD546" s="42"/>
      <c r="AE546" s="42"/>
      <c r="AF546" s="42"/>
      <c r="AG546" s="42"/>
      <c r="AH546" s="53"/>
      <c r="AI546" s="22"/>
      <c r="AJ546" s="22"/>
      <c r="AK546" s="22"/>
      <c r="AL546" s="42"/>
      <c r="AM546" s="42"/>
      <c r="AN546" s="42"/>
      <c r="AO546" s="42"/>
      <c r="AP546" s="42"/>
      <c r="AQ546" s="53"/>
      <c r="AR546" s="64"/>
      <c r="AS546" s="64"/>
      <c r="AT546" s="64"/>
      <c r="AU546" s="65"/>
      <c r="AV546" s="65"/>
      <c r="AW546" s="65"/>
      <c r="AX546" s="65"/>
      <c r="AY546" s="65"/>
      <c r="AZ546" s="53"/>
      <c r="BA546" s="139"/>
      <c r="BB546" s="139"/>
      <c r="BC546" s="139"/>
      <c r="BD546" s="147"/>
      <c r="BE546" s="147"/>
      <c r="BF546" s="147"/>
      <c r="BG546" s="147"/>
      <c r="BH546" s="147"/>
      <c r="BI546" s="53"/>
    </row>
    <row r="547" spans="17:61" ht="12">
      <c r="Q547" s="25" t="s">
        <v>73</v>
      </c>
      <c r="S547" s="132">
        <f aca="true" t="shared" si="255" ref="S547:S552">T547-X547</f>
        <v>2069</v>
      </c>
      <c r="T547" s="42">
        <v>5845</v>
      </c>
      <c r="U547" s="42">
        <v>5507</v>
      </c>
      <c r="V547" s="42">
        <v>4306</v>
      </c>
      <c r="W547" s="42">
        <v>4000</v>
      </c>
      <c r="X547" s="42">
        <v>3776</v>
      </c>
      <c r="Y547" s="53">
        <f aca="true" t="shared" si="256" ref="Y547:Y552">AVERAGE(T547:X547)</f>
        <v>4686.8</v>
      </c>
      <c r="Z547" s="25" t="s">
        <v>73</v>
      </c>
      <c r="AB547" s="132">
        <f aca="true" t="shared" si="257" ref="AB547:AB552">AC547-AG547</f>
        <v>53</v>
      </c>
      <c r="AC547" s="42">
        <v>191</v>
      </c>
      <c r="AD547" s="42">
        <v>169</v>
      </c>
      <c r="AE547" s="42">
        <v>135</v>
      </c>
      <c r="AF547" s="42">
        <v>129</v>
      </c>
      <c r="AG547" s="42">
        <v>138</v>
      </c>
      <c r="AH547" s="53">
        <f aca="true" t="shared" si="258" ref="AH547:AH552">AVERAGE(AC547:AG547)</f>
        <v>152.4</v>
      </c>
      <c r="AI547" s="25" t="s">
        <v>73</v>
      </c>
      <c r="AJ547" s="25"/>
      <c r="AK547" s="132">
        <f aca="true" t="shared" si="259" ref="AK547:AK552">AL547-AP547</f>
        <v>106</v>
      </c>
      <c r="AL547" s="42">
        <f aca="true" t="shared" si="260" ref="AL547:AP552">2*AC547</f>
        <v>382</v>
      </c>
      <c r="AM547" s="42">
        <f t="shared" si="260"/>
        <v>338</v>
      </c>
      <c r="AN547" s="42">
        <f t="shared" si="260"/>
        <v>270</v>
      </c>
      <c r="AO547" s="42">
        <f t="shared" si="260"/>
        <v>258</v>
      </c>
      <c r="AP547" s="42">
        <f t="shared" si="260"/>
        <v>276</v>
      </c>
      <c r="AQ547" s="53">
        <f aca="true" t="shared" si="261" ref="AQ547:AQ552">AVERAGE(AL547:AP547)</f>
        <v>304.8</v>
      </c>
      <c r="AR547" s="60" t="s">
        <v>73</v>
      </c>
      <c r="AS547" s="60"/>
      <c r="AT547" s="134">
        <f aca="true" t="shared" si="262" ref="AT547:AT552">AU547-AY547</f>
        <v>-1027</v>
      </c>
      <c r="AU547" s="65">
        <v>2566</v>
      </c>
      <c r="AV547" s="65">
        <v>2409</v>
      </c>
      <c r="AW547" s="65">
        <v>2339</v>
      </c>
      <c r="AX547" s="65">
        <v>3235</v>
      </c>
      <c r="AY547" s="65">
        <v>3593</v>
      </c>
      <c r="AZ547" s="53">
        <f aca="true" t="shared" si="263" ref="AZ547:AZ552">AVERAGE(AU547:AY547)</f>
        <v>2828.4</v>
      </c>
      <c r="BA547" s="133" t="s">
        <v>73</v>
      </c>
      <c r="BC547" s="146">
        <f aca="true" t="shared" si="264" ref="BC547:BC552">BD547-BH547</f>
        <v>-2054</v>
      </c>
      <c r="BD547" s="147">
        <f aca="true" t="shared" si="265" ref="BD547:BH552">2*AU547</f>
        <v>5132</v>
      </c>
      <c r="BE547" s="147">
        <f t="shared" si="265"/>
        <v>4818</v>
      </c>
      <c r="BF547" s="147">
        <f t="shared" si="265"/>
        <v>4678</v>
      </c>
      <c r="BG547" s="147">
        <f t="shared" si="265"/>
        <v>6470</v>
      </c>
      <c r="BH547" s="147">
        <f t="shared" si="265"/>
        <v>7186</v>
      </c>
      <c r="BI547" s="53">
        <f aca="true" t="shared" si="266" ref="BI547:BI552">AVERAGE(BD547:BH547)</f>
        <v>5656.8</v>
      </c>
    </row>
    <row r="548" spans="17:61" ht="12">
      <c r="Q548" s="25" t="s">
        <v>74</v>
      </c>
      <c r="S548" s="132">
        <f t="shared" si="255"/>
        <v>1066</v>
      </c>
      <c r="T548" s="42">
        <v>3481</v>
      </c>
      <c r="U548" s="42">
        <v>3307</v>
      </c>
      <c r="V548" s="42">
        <v>2742</v>
      </c>
      <c r="W548" s="42">
        <v>2587</v>
      </c>
      <c r="X548" s="42">
        <v>2415</v>
      </c>
      <c r="Y548" s="53">
        <f t="shared" si="256"/>
        <v>2906.4</v>
      </c>
      <c r="Z548" s="25" t="s">
        <v>74</v>
      </c>
      <c r="AB548" s="132">
        <f t="shared" si="257"/>
        <v>38</v>
      </c>
      <c r="AC548" s="42">
        <v>110</v>
      </c>
      <c r="AD548" s="42">
        <v>91</v>
      </c>
      <c r="AE548" s="42">
        <v>70</v>
      </c>
      <c r="AF548" s="42">
        <v>61</v>
      </c>
      <c r="AG548" s="42">
        <v>72</v>
      </c>
      <c r="AH548" s="53">
        <f t="shared" si="258"/>
        <v>80.8</v>
      </c>
      <c r="AI548" s="25" t="s">
        <v>74</v>
      </c>
      <c r="AJ548" s="25"/>
      <c r="AK548" s="132">
        <f t="shared" si="259"/>
        <v>76</v>
      </c>
      <c r="AL548" s="42">
        <f t="shared" si="260"/>
        <v>220</v>
      </c>
      <c r="AM548" s="42">
        <f t="shared" si="260"/>
        <v>182</v>
      </c>
      <c r="AN548" s="42">
        <f t="shared" si="260"/>
        <v>140</v>
      </c>
      <c r="AO548" s="42">
        <f t="shared" si="260"/>
        <v>122</v>
      </c>
      <c r="AP548" s="42">
        <f t="shared" si="260"/>
        <v>144</v>
      </c>
      <c r="AQ548" s="53">
        <f t="shared" si="261"/>
        <v>161.6</v>
      </c>
      <c r="AR548" s="60" t="s">
        <v>74</v>
      </c>
      <c r="AS548" s="60"/>
      <c r="AT548" s="134">
        <f t="shared" si="262"/>
        <v>-1384</v>
      </c>
      <c r="AU548" s="65">
        <v>2351</v>
      </c>
      <c r="AV548" s="65">
        <v>2251</v>
      </c>
      <c r="AW548" s="65">
        <v>2187</v>
      </c>
      <c r="AX548" s="65">
        <v>3105</v>
      </c>
      <c r="AY548" s="65">
        <v>3735</v>
      </c>
      <c r="AZ548" s="53">
        <f t="shared" si="263"/>
        <v>2725.8</v>
      </c>
      <c r="BA548" s="133" t="s">
        <v>74</v>
      </c>
      <c r="BC548" s="146">
        <f t="shared" si="264"/>
        <v>-2768</v>
      </c>
      <c r="BD548" s="147">
        <f t="shared" si="265"/>
        <v>4702</v>
      </c>
      <c r="BE548" s="147">
        <f t="shared" si="265"/>
        <v>4502</v>
      </c>
      <c r="BF548" s="147">
        <f t="shared" si="265"/>
        <v>4374</v>
      </c>
      <c r="BG548" s="147">
        <f t="shared" si="265"/>
        <v>6210</v>
      </c>
      <c r="BH548" s="147">
        <f t="shared" si="265"/>
        <v>7470</v>
      </c>
      <c r="BI548" s="53">
        <f t="shared" si="266"/>
        <v>5451.6</v>
      </c>
    </row>
    <row r="549" spans="17:61" ht="12">
      <c r="Q549" s="25" t="s">
        <v>116</v>
      </c>
      <c r="S549" s="132">
        <f t="shared" si="255"/>
        <v>1003</v>
      </c>
      <c r="T549" s="42">
        <f>T547-T548</f>
        <v>2364</v>
      </c>
      <c r="U549" s="42">
        <f>U547-U548</f>
        <v>2200</v>
      </c>
      <c r="V549" s="42">
        <f>V547-V548</f>
        <v>1564</v>
      </c>
      <c r="W549" s="42">
        <f>W547-W548</f>
        <v>1413</v>
      </c>
      <c r="X549" s="42">
        <f>X547-X548</f>
        <v>1361</v>
      </c>
      <c r="Y549" s="53">
        <f t="shared" si="256"/>
        <v>1780.4</v>
      </c>
      <c r="Z549" s="25" t="s">
        <v>116</v>
      </c>
      <c r="AB549" s="132">
        <f t="shared" si="257"/>
        <v>15</v>
      </c>
      <c r="AC549" s="42">
        <f>AC547-AC548</f>
        <v>81</v>
      </c>
      <c r="AD549" s="42">
        <f>AD547-AD548</f>
        <v>78</v>
      </c>
      <c r="AE549" s="42">
        <f>AE547-AE548</f>
        <v>65</v>
      </c>
      <c r="AF549" s="42">
        <f>AF547-AF548</f>
        <v>68</v>
      </c>
      <c r="AG549" s="42">
        <f>AG547-AG548</f>
        <v>66</v>
      </c>
      <c r="AH549" s="53">
        <f t="shared" si="258"/>
        <v>71.6</v>
      </c>
      <c r="AI549" s="25" t="s">
        <v>116</v>
      </c>
      <c r="AJ549" s="25"/>
      <c r="AK549" s="132">
        <f t="shared" si="259"/>
        <v>30</v>
      </c>
      <c r="AL549" s="42">
        <f t="shared" si="260"/>
        <v>162</v>
      </c>
      <c r="AM549" s="42">
        <f t="shared" si="260"/>
        <v>156</v>
      </c>
      <c r="AN549" s="42">
        <f t="shared" si="260"/>
        <v>130</v>
      </c>
      <c r="AO549" s="42">
        <f t="shared" si="260"/>
        <v>136</v>
      </c>
      <c r="AP549" s="42">
        <f t="shared" si="260"/>
        <v>132</v>
      </c>
      <c r="AQ549" s="53">
        <f t="shared" si="261"/>
        <v>143.2</v>
      </c>
      <c r="AR549" s="60" t="s">
        <v>116</v>
      </c>
      <c r="AS549" s="60"/>
      <c r="AT549" s="134">
        <f t="shared" si="262"/>
        <v>357</v>
      </c>
      <c r="AU549" s="65">
        <f>AU547-AU548</f>
        <v>215</v>
      </c>
      <c r="AV549" s="65">
        <f>AV547-AV548</f>
        <v>158</v>
      </c>
      <c r="AW549" s="65">
        <f>AW547-AW548</f>
        <v>152</v>
      </c>
      <c r="AX549" s="65">
        <f>AX547-AX548</f>
        <v>130</v>
      </c>
      <c r="AY549" s="65">
        <f>AY547-AY548</f>
        <v>-142</v>
      </c>
      <c r="AZ549" s="53">
        <f t="shared" si="263"/>
        <v>102.6</v>
      </c>
      <c r="BA549" s="133" t="s">
        <v>116</v>
      </c>
      <c r="BC549" s="146">
        <f t="shared" si="264"/>
        <v>714</v>
      </c>
      <c r="BD549" s="147">
        <f t="shared" si="265"/>
        <v>430</v>
      </c>
      <c r="BE549" s="147">
        <f t="shared" si="265"/>
        <v>316</v>
      </c>
      <c r="BF549" s="147">
        <f t="shared" si="265"/>
        <v>304</v>
      </c>
      <c r="BG549" s="147">
        <f t="shared" si="265"/>
        <v>260</v>
      </c>
      <c r="BH549" s="147">
        <f t="shared" si="265"/>
        <v>-284</v>
      </c>
      <c r="BI549" s="53">
        <f t="shared" si="266"/>
        <v>205.2</v>
      </c>
    </row>
    <row r="550" spans="17:61" ht="12">
      <c r="Q550" s="25" t="s">
        <v>82</v>
      </c>
      <c r="S550" s="132">
        <f t="shared" si="255"/>
        <v>72</v>
      </c>
      <c r="T550" s="42">
        <v>143</v>
      </c>
      <c r="U550" s="42">
        <v>131</v>
      </c>
      <c r="V550" s="42">
        <v>72</v>
      </c>
      <c r="W550" s="42">
        <v>81</v>
      </c>
      <c r="X550" s="42">
        <v>71</v>
      </c>
      <c r="Y550" s="53">
        <f t="shared" si="256"/>
        <v>99.6</v>
      </c>
      <c r="Z550" s="25" t="s">
        <v>82</v>
      </c>
      <c r="AB550" s="132">
        <f t="shared" si="257"/>
        <v>-0.565</v>
      </c>
      <c r="AC550" s="42">
        <v>0.323</v>
      </c>
      <c r="AD550" s="42">
        <v>0.086</v>
      </c>
      <c r="AE550" s="42">
        <v>0.427</v>
      </c>
      <c r="AF550" s="42">
        <v>0.427</v>
      </c>
      <c r="AG550" s="42">
        <v>0.888</v>
      </c>
      <c r="AH550" s="53">
        <f t="shared" si="258"/>
        <v>0.4302</v>
      </c>
      <c r="AI550" s="25" t="s">
        <v>82</v>
      </c>
      <c r="AJ550" s="25"/>
      <c r="AK550" s="132">
        <f t="shared" si="259"/>
        <v>-1.13</v>
      </c>
      <c r="AL550" s="42">
        <f t="shared" si="260"/>
        <v>0.646</v>
      </c>
      <c r="AM550" s="42">
        <f t="shared" si="260"/>
        <v>0.172</v>
      </c>
      <c r="AN550" s="42">
        <f t="shared" si="260"/>
        <v>0.854</v>
      </c>
      <c r="AO550" s="42">
        <f t="shared" si="260"/>
        <v>0.854</v>
      </c>
      <c r="AP550" s="42">
        <f t="shared" si="260"/>
        <v>1.776</v>
      </c>
      <c r="AQ550" s="53">
        <f t="shared" si="261"/>
        <v>0.8604</v>
      </c>
      <c r="AR550" s="60" t="s">
        <v>82</v>
      </c>
      <c r="AS550" s="60"/>
      <c r="AT550" s="134">
        <f t="shared" si="262"/>
        <v>3</v>
      </c>
      <c r="AU550" s="65">
        <v>61</v>
      </c>
      <c r="AV550" s="65">
        <v>49</v>
      </c>
      <c r="AW550" s="65">
        <v>30</v>
      </c>
      <c r="AX550" s="65">
        <v>45</v>
      </c>
      <c r="AY550" s="65">
        <v>58</v>
      </c>
      <c r="AZ550" s="53">
        <f t="shared" si="263"/>
        <v>48.6</v>
      </c>
      <c r="BA550" s="133" t="s">
        <v>82</v>
      </c>
      <c r="BC550" s="146">
        <f t="shared" si="264"/>
        <v>6</v>
      </c>
      <c r="BD550" s="147">
        <f t="shared" si="265"/>
        <v>122</v>
      </c>
      <c r="BE550" s="147">
        <f t="shared" si="265"/>
        <v>98</v>
      </c>
      <c r="BF550" s="147">
        <f t="shared" si="265"/>
        <v>60</v>
      </c>
      <c r="BG550" s="147">
        <f t="shared" si="265"/>
        <v>90</v>
      </c>
      <c r="BH550" s="147">
        <f t="shared" si="265"/>
        <v>116</v>
      </c>
      <c r="BI550" s="53">
        <f t="shared" si="266"/>
        <v>97.2</v>
      </c>
    </row>
    <row r="551" spans="17:61" ht="12">
      <c r="Q551" s="25" t="s">
        <v>83</v>
      </c>
      <c r="S551" s="132">
        <f t="shared" si="255"/>
        <v>-13</v>
      </c>
      <c r="T551" s="42">
        <v>82</v>
      </c>
      <c r="U551" s="42">
        <v>50</v>
      </c>
      <c r="V551" s="42">
        <v>95</v>
      </c>
      <c r="W551" s="42">
        <v>79</v>
      </c>
      <c r="X551" s="42">
        <v>95</v>
      </c>
      <c r="Y551" s="53">
        <f t="shared" si="256"/>
        <v>80.2</v>
      </c>
      <c r="Z551" s="25" t="s">
        <v>83</v>
      </c>
      <c r="AB551" s="132">
        <f t="shared" si="257"/>
        <v>4</v>
      </c>
      <c r="AC551" s="42">
        <v>5</v>
      </c>
      <c r="AD551" s="42">
        <v>2</v>
      </c>
      <c r="AE551" s="42">
        <v>0.859</v>
      </c>
      <c r="AF551" s="42">
        <v>0.467</v>
      </c>
      <c r="AG551" s="42">
        <v>1</v>
      </c>
      <c r="AH551" s="53">
        <f t="shared" si="258"/>
        <v>1.8652000000000002</v>
      </c>
      <c r="AI551" s="25" t="s">
        <v>83</v>
      </c>
      <c r="AJ551" s="25"/>
      <c r="AK551" s="132">
        <f t="shared" si="259"/>
        <v>8</v>
      </c>
      <c r="AL551" s="42">
        <f t="shared" si="260"/>
        <v>10</v>
      </c>
      <c r="AM551" s="42">
        <f t="shared" si="260"/>
        <v>4</v>
      </c>
      <c r="AN551" s="42">
        <f t="shared" si="260"/>
        <v>1.718</v>
      </c>
      <c r="AO551" s="42">
        <f t="shared" si="260"/>
        <v>0.934</v>
      </c>
      <c r="AP551" s="42">
        <f t="shared" si="260"/>
        <v>2</v>
      </c>
      <c r="AQ551" s="53">
        <f t="shared" si="261"/>
        <v>3.7304000000000004</v>
      </c>
      <c r="AR551" s="60" t="s">
        <v>83</v>
      </c>
      <c r="AS551" s="60"/>
      <c r="AT551" s="134">
        <f t="shared" si="262"/>
        <v>-39</v>
      </c>
      <c r="AU551" s="65">
        <v>34</v>
      </c>
      <c r="AV551" s="65">
        <v>24</v>
      </c>
      <c r="AW551" s="65">
        <v>43</v>
      </c>
      <c r="AX551" s="65">
        <v>33</v>
      </c>
      <c r="AY551" s="65">
        <v>73</v>
      </c>
      <c r="AZ551" s="53">
        <f t="shared" si="263"/>
        <v>41.4</v>
      </c>
      <c r="BA551" s="133" t="s">
        <v>83</v>
      </c>
      <c r="BC551" s="146">
        <f t="shared" si="264"/>
        <v>-78</v>
      </c>
      <c r="BD551" s="147">
        <f t="shared" si="265"/>
        <v>68</v>
      </c>
      <c r="BE551" s="147">
        <f t="shared" si="265"/>
        <v>48</v>
      </c>
      <c r="BF551" s="147">
        <f t="shared" si="265"/>
        <v>86</v>
      </c>
      <c r="BG551" s="147">
        <f t="shared" si="265"/>
        <v>66</v>
      </c>
      <c r="BH551" s="147">
        <f t="shared" si="265"/>
        <v>146</v>
      </c>
      <c r="BI551" s="53">
        <f t="shared" si="266"/>
        <v>82.8</v>
      </c>
    </row>
    <row r="552" spans="17:61" ht="12">
      <c r="Q552" s="25" t="s">
        <v>98</v>
      </c>
      <c r="S552" s="132">
        <f t="shared" si="255"/>
        <v>199</v>
      </c>
      <c r="T552" s="42">
        <v>361</v>
      </c>
      <c r="U552" s="42">
        <v>135</v>
      </c>
      <c r="V552" s="42">
        <v>197</v>
      </c>
      <c r="W552" s="42">
        <v>175</v>
      </c>
      <c r="X552" s="42">
        <v>162</v>
      </c>
      <c r="Y552" s="53">
        <f t="shared" si="256"/>
        <v>206</v>
      </c>
      <c r="Z552" s="25" t="s">
        <v>98</v>
      </c>
      <c r="AB552" s="132">
        <f t="shared" si="257"/>
        <v>35</v>
      </c>
      <c r="AC552" s="42">
        <v>6</v>
      </c>
      <c r="AD552" s="42">
        <v>17</v>
      </c>
      <c r="AE552" s="42">
        <v>89</v>
      </c>
      <c r="AF552" s="42">
        <v>-17</v>
      </c>
      <c r="AG552" s="42">
        <v>-29</v>
      </c>
      <c r="AH552" s="53">
        <f t="shared" si="258"/>
        <v>13.2</v>
      </c>
      <c r="AI552" s="25" t="s">
        <v>98</v>
      </c>
      <c r="AJ552" s="25"/>
      <c r="AK552" s="132">
        <f t="shared" si="259"/>
        <v>70</v>
      </c>
      <c r="AL552" s="42">
        <f t="shared" si="260"/>
        <v>12</v>
      </c>
      <c r="AM552" s="42">
        <f t="shared" si="260"/>
        <v>34</v>
      </c>
      <c r="AN552" s="42">
        <f t="shared" si="260"/>
        <v>178</v>
      </c>
      <c r="AO552" s="42">
        <f t="shared" si="260"/>
        <v>-34</v>
      </c>
      <c r="AP552" s="42">
        <f t="shared" si="260"/>
        <v>-58</v>
      </c>
      <c r="AQ552" s="53">
        <f t="shared" si="261"/>
        <v>26.4</v>
      </c>
      <c r="AR552" s="60" t="s">
        <v>98</v>
      </c>
      <c r="AS552" s="60"/>
      <c r="AT552" s="134">
        <f t="shared" si="262"/>
        <v>560</v>
      </c>
      <c r="AU552" s="65">
        <v>305</v>
      </c>
      <c r="AV552" s="65">
        <v>482</v>
      </c>
      <c r="AW552" s="65">
        <v>375</v>
      </c>
      <c r="AX552" s="65">
        <v>50</v>
      </c>
      <c r="AY552" s="65">
        <v>-255</v>
      </c>
      <c r="AZ552" s="53">
        <f t="shared" si="263"/>
        <v>191.4</v>
      </c>
      <c r="BA552" s="133" t="s">
        <v>98</v>
      </c>
      <c r="BC552" s="146">
        <f t="shared" si="264"/>
        <v>1120</v>
      </c>
      <c r="BD552" s="147">
        <f t="shared" si="265"/>
        <v>610</v>
      </c>
      <c r="BE552" s="147">
        <f t="shared" si="265"/>
        <v>964</v>
      </c>
      <c r="BF552" s="147">
        <f t="shared" si="265"/>
        <v>750</v>
      </c>
      <c r="BG552" s="147">
        <f t="shared" si="265"/>
        <v>100</v>
      </c>
      <c r="BH552" s="147">
        <f t="shared" si="265"/>
        <v>-510</v>
      </c>
      <c r="BI552" s="53">
        <f t="shared" si="266"/>
        <v>382.8</v>
      </c>
    </row>
    <row r="553" spans="17:61" ht="12">
      <c r="Q553" s="22"/>
      <c r="R553" s="22"/>
      <c r="S553" s="22"/>
      <c r="T553" s="42"/>
      <c r="U553" s="42"/>
      <c r="V553" s="42"/>
      <c r="W553" s="42"/>
      <c r="X553" s="42"/>
      <c r="Y553" s="53"/>
      <c r="Z553" s="22"/>
      <c r="AA553" s="22"/>
      <c r="AB553" s="22"/>
      <c r="AC553" s="42"/>
      <c r="AD553" s="42"/>
      <c r="AE553" s="42"/>
      <c r="AF553" s="42"/>
      <c r="AG553" s="42"/>
      <c r="AH553" s="53"/>
      <c r="AI553" s="22"/>
      <c r="AJ553" s="22"/>
      <c r="AK553" s="22"/>
      <c r="AL553" s="42"/>
      <c r="AM553" s="42"/>
      <c r="AN553" s="42"/>
      <c r="AO553" s="42"/>
      <c r="AP553" s="42"/>
      <c r="AQ553" s="53"/>
      <c r="AR553" s="64"/>
      <c r="AS553" s="64"/>
      <c r="AT553" s="64"/>
      <c r="AU553" s="65"/>
      <c r="AV553" s="65"/>
      <c r="AW553" s="65"/>
      <c r="AX553" s="65"/>
      <c r="AY553" s="65"/>
      <c r="AZ553" s="53"/>
      <c r="BA553" s="139"/>
      <c r="BB553" s="139"/>
      <c r="BC553" s="139"/>
      <c r="BD553" s="147"/>
      <c r="BE553" s="147"/>
      <c r="BF553" s="147"/>
      <c r="BG553" s="147"/>
      <c r="BH553" s="147"/>
      <c r="BI553" s="53"/>
    </row>
    <row r="554" spans="17:61" ht="12">
      <c r="Q554" s="25" t="s">
        <v>60</v>
      </c>
      <c r="S554" s="28" t="s">
        <v>17</v>
      </c>
      <c r="T554" s="28" t="s">
        <v>38</v>
      </c>
      <c r="U554" s="28" t="s">
        <v>38</v>
      </c>
      <c r="V554" s="28" t="s">
        <v>38</v>
      </c>
      <c r="W554" s="28" t="s">
        <v>38</v>
      </c>
      <c r="X554" s="28" t="s">
        <v>38</v>
      </c>
      <c r="Y554" s="143" t="s">
        <v>38</v>
      </c>
      <c r="AH554" s="137"/>
      <c r="AI554" s="25" t="s">
        <v>60</v>
      </c>
      <c r="AJ554" s="25"/>
      <c r="AK554" s="28" t="s">
        <v>17</v>
      </c>
      <c r="AL554" s="28" t="s">
        <v>38</v>
      </c>
      <c r="AM554" s="28" t="s">
        <v>38</v>
      </c>
      <c r="AN554" s="28" t="s">
        <v>38</v>
      </c>
      <c r="AO554" s="28" t="s">
        <v>38</v>
      </c>
      <c r="AP554" s="28" t="s">
        <v>38</v>
      </c>
      <c r="AQ554" s="143" t="s">
        <v>38</v>
      </c>
      <c r="AR554" s="60"/>
      <c r="AS554" s="60"/>
      <c r="AT554" s="60"/>
      <c r="AU554" s="60"/>
      <c r="AV554" s="60"/>
      <c r="AW554" s="60"/>
      <c r="AX554" s="60"/>
      <c r="AY554" s="60"/>
      <c r="AZ554" s="137"/>
      <c r="BA554" s="133" t="s">
        <v>60</v>
      </c>
      <c r="BC554" s="143" t="s">
        <v>17</v>
      </c>
      <c r="BD554" s="143" t="s">
        <v>38</v>
      </c>
      <c r="BE554" s="143" t="s">
        <v>38</v>
      </c>
      <c r="BF554" s="143" t="s">
        <v>38</v>
      </c>
      <c r="BG554" s="143" t="s">
        <v>38</v>
      </c>
      <c r="BH554" s="143" t="s">
        <v>38</v>
      </c>
      <c r="BI554" s="143" t="s">
        <v>38</v>
      </c>
    </row>
    <row r="555" spans="18:61" ht="12">
      <c r="R555" s="25" t="s">
        <v>61</v>
      </c>
      <c r="S555" s="44">
        <f>T555-X555</f>
        <v>-0.27999999999999936</v>
      </c>
      <c r="T555" s="54">
        <v>4.19</v>
      </c>
      <c r="U555" s="54">
        <v>1.7</v>
      </c>
      <c r="V555" s="54">
        <v>5.29</v>
      </c>
      <c r="W555" s="25">
        <v>4.81</v>
      </c>
      <c r="X555" s="25">
        <v>4.47</v>
      </c>
      <c r="Y555" s="140">
        <f>AVERAGE(T555:X555)</f>
        <v>4.092</v>
      </c>
      <c r="AC555" s="42"/>
      <c r="AD555" s="42"/>
      <c r="AE555" s="42"/>
      <c r="AF555" s="42"/>
      <c r="AG555" s="42"/>
      <c r="AH555" s="53"/>
      <c r="AI555" s="25"/>
      <c r="AJ555" s="25" t="s">
        <v>61</v>
      </c>
      <c r="AK555" s="44">
        <f>AL555-AP555</f>
        <v>0.22000000000000003</v>
      </c>
      <c r="AL555" s="33">
        <f aca="true" t="shared" si="267" ref="AL555:AP556">2*AC557</f>
        <v>0.08</v>
      </c>
      <c r="AM555" s="33">
        <f t="shared" si="267"/>
        <v>0.18</v>
      </c>
      <c r="AN555" s="33">
        <f t="shared" si="267"/>
        <v>0.42</v>
      </c>
      <c r="AO555" s="33">
        <f t="shared" si="267"/>
        <v>-0.08</v>
      </c>
      <c r="AP555" s="33">
        <f t="shared" si="267"/>
        <v>-0.14</v>
      </c>
      <c r="AQ555" s="140">
        <f>AVERAGE(AL555:AP555)</f>
        <v>0.092</v>
      </c>
      <c r="AR555" s="60"/>
      <c r="AS555" s="60"/>
      <c r="AT555" s="60"/>
      <c r="AU555" s="65"/>
      <c r="AV555" s="65"/>
      <c r="AW555" s="65"/>
      <c r="AX555" s="65"/>
      <c r="AY555" s="65"/>
      <c r="AZ555" s="53"/>
      <c r="BB555" s="133" t="s">
        <v>61</v>
      </c>
      <c r="BC555" s="148">
        <f>BD555-BH555</f>
        <v>0.84</v>
      </c>
      <c r="BD555" s="149">
        <f aca="true" t="shared" si="268" ref="BD555:BH556">2*AU557</f>
        <v>0.48</v>
      </c>
      <c r="BE555" s="149">
        <f t="shared" si="268"/>
        <v>0.66</v>
      </c>
      <c r="BF555" s="149">
        <f t="shared" si="268"/>
        <v>0.52</v>
      </c>
      <c r="BG555" s="149">
        <f t="shared" si="268"/>
        <v>0.08</v>
      </c>
      <c r="BH555" s="149">
        <f t="shared" si="268"/>
        <v>-0.36</v>
      </c>
      <c r="BI555" s="140">
        <f>AVERAGE(BD555:BH555)</f>
        <v>0.2760000000000001</v>
      </c>
    </row>
    <row r="556" spans="18:61" ht="12">
      <c r="R556" s="25" t="s">
        <v>62</v>
      </c>
      <c r="S556" s="44">
        <f>T556-X556</f>
        <v>-0.25</v>
      </c>
      <c r="T556" s="54">
        <v>4.17</v>
      </c>
      <c r="U556" s="54">
        <v>1.69</v>
      </c>
      <c r="V556" s="54">
        <v>5.19</v>
      </c>
      <c r="W556" s="25">
        <v>4.77</v>
      </c>
      <c r="X556" s="25">
        <v>4.42</v>
      </c>
      <c r="Y556" s="140">
        <f>AVERAGE(T556:X556)</f>
        <v>4.048</v>
      </c>
      <c r="Z556" s="25" t="s">
        <v>60</v>
      </c>
      <c r="AB556" s="28" t="s">
        <v>17</v>
      </c>
      <c r="AC556" s="28" t="s">
        <v>68</v>
      </c>
      <c r="AD556" s="28" t="s">
        <v>68</v>
      </c>
      <c r="AE556" s="28" t="s">
        <v>68</v>
      </c>
      <c r="AF556" s="28" t="s">
        <v>68</v>
      </c>
      <c r="AG556" s="28" t="s">
        <v>68</v>
      </c>
      <c r="AH556" s="138" t="s">
        <v>68</v>
      </c>
      <c r="AI556" s="25"/>
      <c r="AJ556" s="25" t="s">
        <v>62</v>
      </c>
      <c r="AK556" s="44">
        <f>AL556-AP556</f>
        <v>0.22000000000000003</v>
      </c>
      <c r="AL556" s="33">
        <f t="shared" si="267"/>
        <v>0.08</v>
      </c>
      <c r="AM556" s="33">
        <f t="shared" si="267"/>
        <v>0.18</v>
      </c>
      <c r="AN556" s="33">
        <f t="shared" si="267"/>
        <v>0.42</v>
      </c>
      <c r="AO556" s="33">
        <f t="shared" si="267"/>
        <v>-0.08</v>
      </c>
      <c r="AP556" s="33">
        <f t="shared" si="267"/>
        <v>-0.14</v>
      </c>
      <c r="AQ556" s="140">
        <f>AVERAGE(AL556:AP556)</f>
        <v>0.092</v>
      </c>
      <c r="AR556" s="60" t="s">
        <v>60</v>
      </c>
      <c r="AS556" s="60"/>
      <c r="AT556" s="62" t="s">
        <v>17</v>
      </c>
      <c r="AU556" s="62" t="s">
        <v>68</v>
      </c>
      <c r="AV556" s="62" t="s">
        <v>68</v>
      </c>
      <c r="AW556" s="62" t="s">
        <v>68</v>
      </c>
      <c r="AX556" s="62" t="s">
        <v>68</v>
      </c>
      <c r="AY556" s="62" t="s">
        <v>68</v>
      </c>
      <c r="AZ556" s="138" t="s">
        <v>68</v>
      </c>
      <c r="BB556" s="133" t="s">
        <v>62</v>
      </c>
      <c r="BC556" s="148">
        <f>BD556-BH556</f>
        <v>0.8200000000000001</v>
      </c>
      <c r="BD556" s="149">
        <f t="shared" si="268"/>
        <v>0.46</v>
      </c>
      <c r="BE556" s="149">
        <f t="shared" si="268"/>
        <v>0.64</v>
      </c>
      <c r="BF556" s="149">
        <f t="shared" si="268"/>
        <v>0.5</v>
      </c>
      <c r="BG556" s="149">
        <f t="shared" si="268"/>
        <v>0.08</v>
      </c>
      <c r="BH556" s="149">
        <f t="shared" si="268"/>
        <v>-0.36</v>
      </c>
      <c r="BI556" s="140">
        <f>AVERAGE(BD556:BH556)</f>
        <v>0.26400000000000007</v>
      </c>
    </row>
    <row r="557" spans="27:61" ht="12">
      <c r="AA557" s="25" t="s">
        <v>61</v>
      </c>
      <c r="AB557" s="44">
        <f>AC557-AG557</f>
        <v>0.11000000000000001</v>
      </c>
      <c r="AC557" s="25">
        <v>0.04</v>
      </c>
      <c r="AD557" s="25">
        <v>0.09</v>
      </c>
      <c r="AE557" s="25">
        <v>0.21</v>
      </c>
      <c r="AF557" s="25">
        <v>-0.04</v>
      </c>
      <c r="AG557" s="25">
        <v>-0.07</v>
      </c>
      <c r="AH557" s="140">
        <f>AVERAGE(AC557:AG557)</f>
        <v>0.046</v>
      </c>
      <c r="AI557" s="25"/>
      <c r="AJ557" s="25"/>
      <c r="AK557" s="25"/>
      <c r="AL557" s="25"/>
      <c r="AM557" s="25"/>
      <c r="AN557" s="25"/>
      <c r="AO557" s="25"/>
      <c r="AP557" s="25"/>
      <c r="AQ557" s="137"/>
      <c r="AR557" s="60"/>
      <c r="AS557" s="60" t="s">
        <v>61</v>
      </c>
      <c r="AT557" s="135">
        <f>AU557-AY557</f>
        <v>0.42</v>
      </c>
      <c r="AU557" s="60">
        <v>0.24</v>
      </c>
      <c r="AV557" s="60">
        <v>0.33</v>
      </c>
      <c r="AW557" s="60">
        <v>0.26</v>
      </c>
      <c r="AX557" s="60">
        <v>0.04</v>
      </c>
      <c r="AY557" s="60">
        <v>-0.18</v>
      </c>
      <c r="AZ557" s="140">
        <f>AVERAGE(AU557:AY557)</f>
        <v>0.13800000000000004</v>
      </c>
      <c r="BI557" s="137"/>
    </row>
    <row r="558" spans="17:61" ht="12">
      <c r="Q558" s="22" t="s">
        <v>77</v>
      </c>
      <c r="T558" s="28" t="s">
        <v>71</v>
      </c>
      <c r="U558" s="28" t="s">
        <v>71</v>
      </c>
      <c r="V558" s="28" t="s">
        <v>71</v>
      </c>
      <c r="W558" s="28" t="s">
        <v>71</v>
      </c>
      <c r="X558" s="28" t="s">
        <v>71</v>
      </c>
      <c r="Y558" s="138" t="s">
        <v>71</v>
      </c>
      <c r="AA558" s="25" t="s">
        <v>62</v>
      </c>
      <c r="AB558" s="44">
        <f>AC558-AG558</f>
        <v>0.11000000000000001</v>
      </c>
      <c r="AC558" s="25">
        <v>0.04</v>
      </c>
      <c r="AD558" s="25">
        <v>0.09</v>
      </c>
      <c r="AE558" s="25">
        <v>0.21</v>
      </c>
      <c r="AF558" s="25">
        <v>-0.04</v>
      </c>
      <c r="AG558" s="25">
        <v>-0.07</v>
      </c>
      <c r="AH558" s="140">
        <f>AVERAGE(AC558:AG558)</f>
        <v>0.046</v>
      </c>
      <c r="AI558" s="22" t="s">
        <v>77</v>
      </c>
      <c r="AJ558" s="25"/>
      <c r="AK558" s="25"/>
      <c r="AL558" s="28" t="s">
        <v>71</v>
      </c>
      <c r="AM558" s="28" t="s">
        <v>71</v>
      </c>
      <c r="AN558" s="28" t="s">
        <v>71</v>
      </c>
      <c r="AO558" s="28" t="s">
        <v>71</v>
      </c>
      <c r="AP558" s="28" t="s">
        <v>71</v>
      </c>
      <c r="AQ558" s="138" t="s">
        <v>71</v>
      </c>
      <c r="AR558" s="60"/>
      <c r="AS558" s="60" t="s">
        <v>62</v>
      </c>
      <c r="AT558" s="135">
        <f>AU558-AY558</f>
        <v>0.41000000000000003</v>
      </c>
      <c r="AU558" s="60">
        <v>0.23</v>
      </c>
      <c r="AV558" s="60">
        <v>0.32</v>
      </c>
      <c r="AW558" s="60">
        <v>0.25</v>
      </c>
      <c r="AX558" s="60">
        <v>0.04</v>
      </c>
      <c r="AY558" s="60">
        <v>-0.18</v>
      </c>
      <c r="AZ558" s="140">
        <f>AVERAGE(AU558:AY558)</f>
        <v>0.13200000000000003</v>
      </c>
      <c r="BA558" s="139" t="s">
        <v>77</v>
      </c>
      <c r="BD558" s="143" t="s">
        <v>71</v>
      </c>
      <c r="BE558" s="143" t="s">
        <v>71</v>
      </c>
      <c r="BF558" s="143" t="s">
        <v>71</v>
      </c>
      <c r="BG558" s="143" t="s">
        <v>71</v>
      </c>
      <c r="BH558" s="143" t="s">
        <v>71</v>
      </c>
      <c r="BI558" s="138" t="s">
        <v>71</v>
      </c>
    </row>
    <row r="559" spans="20:61" ht="12">
      <c r="T559" s="28" t="s">
        <v>38</v>
      </c>
      <c r="U559" s="28" t="s">
        <v>38</v>
      </c>
      <c r="V559" s="28" t="s">
        <v>38</v>
      </c>
      <c r="W559" s="28" t="s">
        <v>38</v>
      </c>
      <c r="X559" s="28" t="s">
        <v>38</v>
      </c>
      <c r="Y559" s="143" t="s">
        <v>38</v>
      </c>
      <c r="AH559" s="137"/>
      <c r="AI559" s="25"/>
      <c r="AJ559" s="25"/>
      <c r="AK559" s="25"/>
      <c r="AL559" s="28" t="s">
        <v>38</v>
      </c>
      <c r="AM559" s="28" t="s">
        <v>38</v>
      </c>
      <c r="AN559" s="28" t="s">
        <v>38</v>
      </c>
      <c r="AO559" s="28" t="s">
        <v>38</v>
      </c>
      <c r="AP559" s="28" t="s">
        <v>38</v>
      </c>
      <c r="AQ559" s="143" t="s">
        <v>38</v>
      </c>
      <c r="AR559" s="60"/>
      <c r="AS559" s="60"/>
      <c r="AT559" s="60"/>
      <c r="AU559" s="60"/>
      <c r="AV559" s="60"/>
      <c r="AW559" s="60"/>
      <c r="AX559" s="60"/>
      <c r="AY559" s="60"/>
      <c r="AZ559" s="137"/>
      <c r="BD559" s="143" t="s">
        <v>38</v>
      </c>
      <c r="BE559" s="143" t="s">
        <v>38</v>
      </c>
      <c r="BF559" s="143" t="s">
        <v>38</v>
      </c>
      <c r="BG559" s="143" t="s">
        <v>38</v>
      </c>
      <c r="BH559" s="143" t="s">
        <v>38</v>
      </c>
      <c r="BI559" s="143" t="s">
        <v>38</v>
      </c>
    </row>
    <row r="560" spans="17:61" ht="12">
      <c r="Q560" s="25" t="s">
        <v>79</v>
      </c>
      <c r="S560" s="132">
        <f>T560-X560</f>
        <v>588</v>
      </c>
      <c r="T560" s="42">
        <v>833</v>
      </c>
      <c r="U560" s="42">
        <v>422</v>
      </c>
      <c r="V560" s="42">
        <v>500</v>
      </c>
      <c r="W560" s="42">
        <v>529</v>
      </c>
      <c r="X560" s="42">
        <v>245</v>
      </c>
      <c r="Y560" s="53">
        <f>AVERAGE(T560:X560)</f>
        <v>505.8</v>
      </c>
      <c r="Z560" s="22" t="s">
        <v>77</v>
      </c>
      <c r="AC560" s="28" t="s">
        <v>71</v>
      </c>
      <c r="AD560" s="28" t="s">
        <v>71</v>
      </c>
      <c r="AE560" s="28" t="s">
        <v>71</v>
      </c>
      <c r="AF560" s="28" t="s">
        <v>71</v>
      </c>
      <c r="AG560" s="28" t="s">
        <v>71</v>
      </c>
      <c r="AH560" s="138" t="s">
        <v>71</v>
      </c>
      <c r="AI560" s="25" t="s">
        <v>79</v>
      </c>
      <c r="AJ560" s="25"/>
      <c r="AK560" s="132">
        <f>AL560-AM560</f>
        <v>6</v>
      </c>
      <c r="AL560" s="42">
        <f aca="true" t="shared" si="269" ref="AL560:AP562">2*AC562</f>
        <v>24</v>
      </c>
      <c r="AM560" s="42">
        <f t="shared" si="269"/>
        <v>18</v>
      </c>
      <c r="AN560" s="42">
        <f t="shared" si="269"/>
        <v>0</v>
      </c>
      <c r="AO560" s="42">
        <f t="shared" si="269"/>
        <v>0</v>
      </c>
      <c r="AP560" s="42">
        <f t="shared" si="269"/>
        <v>0</v>
      </c>
      <c r="AQ560" s="53">
        <f>AVERAGE(AL560:AP560)</f>
        <v>8.4</v>
      </c>
      <c r="AR560" s="64" t="s">
        <v>77</v>
      </c>
      <c r="AS560" s="60"/>
      <c r="AT560" s="60"/>
      <c r="AU560" s="62" t="s">
        <v>71</v>
      </c>
      <c r="AV560" s="62" t="s">
        <v>71</v>
      </c>
      <c r="AW560" s="62" t="s">
        <v>71</v>
      </c>
      <c r="AX560" s="62" t="s">
        <v>71</v>
      </c>
      <c r="AY560" s="62" t="s">
        <v>71</v>
      </c>
      <c r="AZ560" s="138" t="s">
        <v>71</v>
      </c>
      <c r="BA560" s="133" t="s">
        <v>79</v>
      </c>
      <c r="BC560" s="146">
        <f>BD560-BE560</f>
        <v>10</v>
      </c>
      <c r="BD560" s="147">
        <f aca="true" t="shared" si="270" ref="BD560:BH562">2*AU562</f>
        <v>516</v>
      </c>
      <c r="BE560" s="147">
        <f t="shared" si="270"/>
        <v>506</v>
      </c>
      <c r="BF560" s="147">
        <f t="shared" si="270"/>
        <v>452</v>
      </c>
      <c r="BG560" s="147">
        <f t="shared" si="270"/>
        <v>0</v>
      </c>
      <c r="BH560" s="147">
        <f t="shared" si="270"/>
        <v>0</v>
      </c>
      <c r="BI560" s="53">
        <f>AVERAGE(BD560:BH560)</f>
        <v>294.8</v>
      </c>
    </row>
    <row r="561" spans="17:61" ht="12">
      <c r="Q561" s="25" t="s">
        <v>80</v>
      </c>
      <c r="S561" s="132">
        <f>T561-X561</f>
        <v>1276</v>
      </c>
      <c r="T561" s="42">
        <v>-295</v>
      </c>
      <c r="U561" s="42">
        <v>-313</v>
      </c>
      <c r="V561" s="42">
        <v>-67</v>
      </c>
      <c r="W561" s="42">
        <v>-215</v>
      </c>
      <c r="X561" s="42">
        <v>-1571</v>
      </c>
      <c r="Y561" s="53">
        <f>AVERAGE(T561:X561)</f>
        <v>-492.2</v>
      </c>
      <c r="AC561" s="28" t="s">
        <v>68</v>
      </c>
      <c r="AD561" s="28" t="s">
        <v>68</v>
      </c>
      <c r="AE561" s="28" t="s">
        <v>68</v>
      </c>
      <c r="AF561" s="28" t="s">
        <v>68</v>
      </c>
      <c r="AG561" s="28" t="s">
        <v>68</v>
      </c>
      <c r="AH561" s="138" t="s">
        <v>68</v>
      </c>
      <c r="AI561" s="25" t="s">
        <v>80</v>
      </c>
      <c r="AJ561" s="25"/>
      <c r="AK561" s="132">
        <f>AL561-AM561</f>
        <v>30</v>
      </c>
      <c r="AL561" s="42">
        <f t="shared" si="269"/>
        <v>52</v>
      </c>
      <c r="AM561" s="42">
        <f t="shared" si="269"/>
        <v>22</v>
      </c>
      <c r="AN561" s="42">
        <f t="shared" si="269"/>
        <v>0</v>
      </c>
      <c r="AO561" s="42">
        <f t="shared" si="269"/>
        <v>0</v>
      </c>
      <c r="AP561" s="42">
        <f t="shared" si="269"/>
        <v>0</v>
      </c>
      <c r="AQ561" s="53">
        <f>AVERAGE(AL561:AP561)</f>
        <v>14.8</v>
      </c>
      <c r="AR561" s="60"/>
      <c r="AS561" s="60"/>
      <c r="AT561" s="60"/>
      <c r="AU561" s="62" t="s">
        <v>68</v>
      </c>
      <c r="AV561" s="62" t="s">
        <v>68</v>
      </c>
      <c r="AW561" s="62" t="s">
        <v>68</v>
      </c>
      <c r="AX561" s="62" t="s">
        <v>68</v>
      </c>
      <c r="AY561" s="62" t="s">
        <v>68</v>
      </c>
      <c r="AZ561" s="138" t="s">
        <v>68</v>
      </c>
      <c r="BA561" s="133" t="s">
        <v>80</v>
      </c>
      <c r="BC561" s="146">
        <f>BD561-BE561</f>
        <v>-502</v>
      </c>
      <c r="BD561" s="147">
        <f t="shared" si="270"/>
        <v>-444</v>
      </c>
      <c r="BE561" s="147">
        <f t="shared" si="270"/>
        <v>58</v>
      </c>
      <c r="BF561" s="147">
        <f t="shared" si="270"/>
        <v>638</v>
      </c>
      <c r="BG561" s="147">
        <f t="shared" si="270"/>
        <v>0</v>
      </c>
      <c r="BH561" s="147">
        <f t="shared" si="270"/>
        <v>0</v>
      </c>
      <c r="BI561" s="53">
        <f>AVERAGE(BD561:BH561)</f>
        <v>50.4</v>
      </c>
    </row>
    <row r="562" spans="17:61" ht="12">
      <c r="Q562" s="25" t="s">
        <v>75</v>
      </c>
      <c r="S562" s="132">
        <f>T562-X562</f>
        <v>891</v>
      </c>
      <c r="T562" s="42">
        <v>-401</v>
      </c>
      <c r="U562" s="42">
        <v>-189</v>
      </c>
      <c r="V562" s="42">
        <v>336</v>
      </c>
      <c r="W562" s="42">
        <v>-358</v>
      </c>
      <c r="X562" s="42">
        <v>-1292</v>
      </c>
      <c r="Y562" s="53">
        <f>AVERAGE(T562:X562)</f>
        <v>-380.8</v>
      </c>
      <c r="Z562" s="25" t="s">
        <v>79</v>
      </c>
      <c r="AB562" s="132">
        <f>AC562-AD562</f>
        <v>3</v>
      </c>
      <c r="AC562" s="42">
        <v>12</v>
      </c>
      <c r="AD562" s="42">
        <v>9</v>
      </c>
      <c r="AE562" s="42"/>
      <c r="AF562" s="42"/>
      <c r="AG562" s="42"/>
      <c r="AH562" s="53">
        <f>AVERAGE(AC562:AG562)</f>
        <v>10.5</v>
      </c>
      <c r="AI562" s="25" t="s">
        <v>75</v>
      </c>
      <c r="AJ562" s="25"/>
      <c r="AK562" s="132">
        <f>AL562-AM562</f>
        <v>24</v>
      </c>
      <c r="AL562" s="42">
        <f t="shared" si="269"/>
        <v>-12</v>
      </c>
      <c r="AM562" s="42">
        <f t="shared" si="269"/>
        <v>-36</v>
      </c>
      <c r="AN562" s="42">
        <f t="shared" si="269"/>
        <v>0</v>
      </c>
      <c r="AO562" s="42">
        <f t="shared" si="269"/>
        <v>0</v>
      </c>
      <c r="AP562" s="42">
        <f t="shared" si="269"/>
        <v>0</v>
      </c>
      <c r="AQ562" s="53">
        <f>AVERAGE(AL562:AP562)</f>
        <v>-9.6</v>
      </c>
      <c r="AR562" s="60" t="s">
        <v>79</v>
      </c>
      <c r="AS562" s="60"/>
      <c r="AT562" s="134">
        <f>AU562-AW562</f>
        <v>32</v>
      </c>
      <c r="AU562" s="65">
        <v>258</v>
      </c>
      <c r="AV562" s="65">
        <v>253</v>
      </c>
      <c r="AW562" s="65">
        <v>226</v>
      </c>
      <c r="AX562" s="65"/>
      <c r="AY562" s="65"/>
      <c r="AZ562" s="53">
        <f>AVERAGE(AU562:AY562)</f>
        <v>245.66666666666666</v>
      </c>
      <c r="BA562" s="133" t="s">
        <v>75</v>
      </c>
      <c r="BC562" s="146">
        <f>BD562-BE562</f>
        <v>-566</v>
      </c>
      <c r="BD562" s="147">
        <f t="shared" si="270"/>
        <v>-1110</v>
      </c>
      <c r="BE562" s="147">
        <f t="shared" si="270"/>
        <v>-544</v>
      </c>
      <c r="BF562" s="147">
        <f t="shared" si="270"/>
        <v>-928</v>
      </c>
      <c r="BG562" s="147">
        <f t="shared" si="270"/>
        <v>0</v>
      </c>
      <c r="BH562" s="147">
        <f t="shared" si="270"/>
        <v>0</v>
      </c>
      <c r="BI562" s="53">
        <f>AVERAGE(BD562:BH562)</f>
        <v>-516.4</v>
      </c>
    </row>
    <row r="563" spans="17:61" ht="12">
      <c r="Q563" s="25" t="s">
        <v>64</v>
      </c>
      <c r="S563" s="132">
        <f>T563-X563</f>
        <v>123</v>
      </c>
      <c r="T563" s="42">
        <v>182</v>
      </c>
      <c r="U563" s="42">
        <v>39</v>
      </c>
      <c r="V563" s="42">
        <v>123</v>
      </c>
      <c r="W563" s="42">
        <v>19</v>
      </c>
      <c r="X563" s="42">
        <v>59</v>
      </c>
      <c r="Y563" s="53">
        <f>AVERAGE(T563:X563)</f>
        <v>84.4</v>
      </c>
      <c r="Z563" s="25" t="s">
        <v>80</v>
      </c>
      <c r="AB563" s="132">
        <f>AC563-AD563</f>
        <v>15</v>
      </c>
      <c r="AC563" s="42">
        <v>26</v>
      </c>
      <c r="AD563" s="42">
        <v>11</v>
      </c>
      <c r="AE563" s="42"/>
      <c r="AF563" s="42"/>
      <c r="AG563" s="42"/>
      <c r="AH563" s="53">
        <f>AVERAGE(AC563:AG563)</f>
        <v>18.5</v>
      </c>
      <c r="AI563" s="25" t="s">
        <v>64</v>
      </c>
      <c r="AJ563" s="25"/>
      <c r="AK563" s="132">
        <f>AL563-AM563</f>
        <v>14</v>
      </c>
      <c r="AL563" s="42">
        <f>2*AC566</f>
        <v>72</v>
      </c>
      <c r="AM563" s="42">
        <f>2*AD566</f>
        <v>58</v>
      </c>
      <c r="AN563" s="42">
        <f>2*AE566</f>
        <v>0</v>
      </c>
      <c r="AO563" s="42">
        <f>2*AF566</f>
        <v>0</v>
      </c>
      <c r="AP563" s="42">
        <f>2*AG566</f>
        <v>0</v>
      </c>
      <c r="AQ563" s="53">
        <f>AVERAGE(AL563:AP563)</f>
        <v>26</v>
      </c>
      <c r="AR563" s="60" t="s">
        <v>80</v>
      </c>
      <c r="AS563" s="60"/>
      <c r="AT563" s="134">
        <f>AU563-AW563</f>
        <v>-541</v>
      </c>
      <c r="AU563" s="65">
        <v>-222</v>
      </c>
      <c r="AV563" s="65">
        <v>29</v>
      </c>
      <c r="AW563" s="65">
        <v>319</v>
      </c>
      <c r="AX563" s="65"/>
      <c r="AY563" s="65"/>
      <c r="AZ563" s="53">
        <f>AVERAGE(AU563:AY563)</f>
        <v>42</v>
      </c>
      <c r="BA563" s="133" t="s">
        <v>64</v>
      </c>
      <c r="BC563" s="146">
        <f>BD563-BE563</f>
        <v>-1064</v>
      </c>
      <c r="BD563" s="147">
        <f>2*AU566</f>
        <v>210</v>
      </c>
      <c r="BE563" s="147">
        <f>2*AV566</f>
        <v>1274</v>
      </c>
      <c r="BF563" s="147">
        <f>2*AW566</f>
        <v>1122</v>
      </c>
      <c r="BG563" s="147">
        <f>2*AX566</f>
        <v>0</v>
      </c>
      <c r="BH563" s="147">
        <f>2*AY566</f>
        <v>0</v>
      </c>
      <c r="BI563" s="53">
        <f>AVERAGE(BD563:BH563)</f>
        <v>521.2</v>
      </c>
    </row>
    <row r="564" spans="26:61" ht="12">
      <c r="Z564" s="25" t="s">
        <v>75</v>
      </c>
      <c r="AB564" s="132">
        <f>AC564-AD564</f>
        <v>12</v>
      </c>
      <c r="AC564" s="42">
        <v>-6</v>
      </c>
      <c r="AD564" s="42">
        <v>-18</v>
      </c>
      <c r="AE564" s="42"/>
      <c r="AF564" s="42"/>
      <c r="AG564" s="42"/>
      <c r="AH564" s="53">
        <f>AVERAGE(AC564:AG564)</f>
        <v>-12</v>
      </c>
      <c r="AI564" s="25"/>
      <c r="AJ564" s="25"/>
      <c r="AK564" s="25"/>
      <c r="AL564" s="25"/>
      <c r="AM564" s="25"/>
      <c r="AN564" s="25"/>
      <c r="AO564" s="25"/>
      <c r="AP564" s="25"/>
      <c r="AQ564" s="137"/>
      <c r="AR564" s="60" t="s">
        <v>75</v>
      </c>
      <c r="AS564" s="60"/>
      <c r="AT564" s="134">
        <f>AU564-AW564</f>
        <v>-91</v>
      </c>
      <c r="AU564" s="65">
        <v>-555</v>
      </c>
      <c r="AV564" s="65">
        <v>-272</v>
      </c>
      <c r="AW564" s="65">
        <v>-464</v>
      </c>
      <c r="AX564" s="65"/>
      <c r="AY564" s="65"/>
      <c r="AZ564" s="53">
        <f>AVERAGE(AU564:AY564)</f>
        <v>-430.3333333333333</v>
      </c>
      <c r="BI564" s="137"/>
    </row>
    <row r="565" spans="17:61" ht="12">
      <c r="Q565" s="139" t="s">
        <v>282</v>
      </c>
      <c r="R565" s="133"/>
      <c r="S565" s="133"/>
      <c r="T565" s="28" t="s">
        <v>71</v>
      </c>
      <c r="U565" s="28" t="s">
        <v>71</v>
      </c>
      <c r="V565" s="28" t="s">
        <v>71</v>
      </c>
      <c r="W565" s="28" t="s">
        <v>71</v>
      </c>
      <c r="X565" s="28" t="s">
        <v>71</v>
      </c>
      <c r="Y565" s="138" t="s">
        <v>71</v>
      </c>
      <c r="Z565" s="25" t="s">
        <v>63</v>
      </c>
      <c r="AB565" s="132">
        <f>AC565-AD565</f>
        <v>3</v>
      </c>
      <c r="AC565" s="42">
        <v>29</v>
      </c>
      <c r="AD565" s="42">
        <v>26</v>
      </c>
      <c r="AE565" s="42"/>
      <c r="AF565" s="42"/>
      <c r="AG565" s="42"/>
      <c r="AH565" s="53">
        <f>AVERAGE(AC565:AG565)</f>
        <v>27.5</v>
      </c>
      <c r="AI565" s="139" t="s">
        <v>282</v>
      </c>
      <c r="AL565" s="28" t="s">
        <v>71</v>
      </c>
      <c r="AM565" s="28" t="s">
        <v>71</v>
      </c>
      <c r="AN565" s="28" t="s">
        <v>71</v>
      </c>
      <c r="AO565" s="28" t="s">
        <v>71</v>
      </c>
      <c r="AP565" s="28" t="s">
        <v>71</v>
      </c>
      <c r="AQ565" s="138" t="s">
        <v>71</v>
      </c>
      <c r="AR565" s="60" t="s">
        <v>63</v>
      </c>
      <c r="AS565" s="60"/>
      <c r="AT565" s="134">
        <f>AU565-AW565</f>
        <v>124</v>
      </c>
      <c r="AU565" s="65">
        <v>637</v>
      </c>
      <c r="AV565" s="65">
        <v>561</v>
      </c>
      <c r="AW565" s="65">
        <v>513</v>
      </c>
      <c r="AX565" s="65"/>
      <c r="AY565" s="65"/>
      <c r="AZ565" s="53">
        <f>AVERAGE(AU565:AY565)</f>
        <v>570.3333333333334</v>
      </c>
      <c r="BA565" s="139" t="s">
        <v>282</v>
      </c>
      <c r="BD565" s="28" t="s">
        <v>71</v>
      </c>
      <c r="BE565" s="28" t="s">
        <v>71</v>
      </c>
      <c r="BF565" s="28" t="s">
        <v>71</v>
      </c>
      <c r="BG565" s="28" t="s">
        <v>71</v>
      </c>
      <c r="BH565" s="28" t="s">
        <v>71</v>
      </c>
      <c r="BI565" s="138" t="s">
        <v>71</v>
      </c>
    </row>
    <row r="566" spans="17:61" ht="12">
      <c r="Q566" s="133"/>
      <c r="R566" s="133"/>
      <c r="S566" s="133"/>
      <c r="T566" s="28" t="s">
        <v>38</v>
      </c>
      <c r="U566" s="28" t="s">
        <v>38</v>
      </c>
      <c r="V566" s="28" t="s">
        <v>38</v>
      </c>
      <c r="W566" s="28" t="s">
        <v>38</v>
      </c>
      <c r="X566" s="28" t="s">
        <v>38</v>
      </c>
      <c r="Y566" s="143" t="s">
        <v>38</v>
      </c>
      <c r="Z566" s="25" t="s">
        <v>64</v>
      </c>
      <c r="AB566" s="132">
        <f>AC566-AD566</f>
        <v>7</v>
      </c>
      <c r="AC566" s="42">
        <v>36</v>
      </c>
      <c r="AD566" s="42">
        <v>29</v>
      </c>
      <c r="AE566" s="42"/>
      <c r="AF566" s="42"/>
      <c r="AG566" s="42"/>
      <c r="AH566" s="53">
        <f>AVERAGE(AC566:AG566)</f>
        <v>32.5</v>
      </c>
      <c r="AL566" s="28" t="s">
        <v>38</v>
      </c>
      <c r="AM566" s="28" t="s">
        <v>38</v>
      </c>
      <c r="AN566" s="28" t="s">
        <v>38</v>
      </c>
      <c r="AO566" s="28" t="s">
        <v>38</v>
      </c>
      <c r="AP566" s="28" t="s">
        <v>38</v>
      </c>
      <c r="AQ566" s="143" t="s">
        <v>38</v>
      </c>
      <c r="AR566" s="60" t="s">
        <v>64</v>
      </c>
      <c r="AS566" s="60"/>
      <c r="AT566" s="134">
        <f>AU566-AW566</f>
        <v>-456</v>
      </c>
      <c r="AU566" s="65">
        <v>105</v>
      </c>
      <c r="AV566" s="65">
        <v>637</v>
      </c>
      <c r="AW566" s="65">
        <v>561</v>
      </c>
      <c r="AX566" s="65"/>
      <c r="AY566" s="65"/>
      <c r="AZ566" s="53">
        <f>AVERAGE(AU566:AY566)</f>
        <v>434.3333333333333</v>
      </c>
      <c r="BD566" s="28" t="s">
        <v>38</v>
      </c>
      <c r="BE566" s="28" t="s">
        <v>38</v>
      </c>
      <c r="BF566" s="28" t="s">
        <v>38</v>
      </c>
      <c r="BG566" s="28" t="s">
        <v>38</v>
      </c>
      <c r="BH566" s="28" t="s">
        <v>38</v>
      </c>
      <c r="BI566" s="143" t="s">
        <v>38</v>
      </c>
    </row>
    <row r="567" spans="17:61" ht="12">
      <c r="Q567" s="25" t="s">
        <v>283</v>
      </c>
      <c r="R567" s="22"/>
      <c r="S567" s="132">
        <f>T567-X567</f>
        <v>2242</v>
      </c>
      <c r="T567" s="42">
        <v>2969</v>
      </c>
      <c r="U567" s="42">
        <v>2871</v>
      </c>
      <c r="V567" s="42">
        <v>891</v>
      </c>
      <c r="W567" s="42">
        <v>796</v>
      </c>
      <c r="X567" s="42">
        <v>727</v>
      </c>
      <c r="Y567" s="53">
        <f>AVERAGE(T567:X567)</f>
        <v>1650.8</v>
      </c>
      <c r="AH567" s="137"/>
      <c r="AI567" s="25" t="s">
        <v>283</v>
      </c>
      <c r="AJ567" s="22"/>
      <c r="AK567" s="132">
        <f>AL567-AP567</f>
        <v>116</v>
      </c>
      <c r="AL567" s="25">
        <v>164</v>
      </c>
      <c r="AM567" s="25">
        <v>188</v>
      </c>
      <c r="AN567" s="25">
        <v>170</v>
      </c>
      <c r="AO567" s="25">
        <v>216</v>
      </c>
      <c r="AP567" s="25">
        <v>48</v>
      </c>
      <c r="AQ567" s="53">
        <f>AVERAGE(AL567:AP567)</f>
        <v>157.2</v>
      </c>
      <c r="AR567" s="60"/>
      <c r="AS567" s="60"/>
      <c r="AT567" s="60"/>
      <c r="AU567" s="60"/>
      <c r="AV567" s="60"/>
      <c r="AW567" s="60"/>
      <c r="AX567" s="60"/>
      <c r="AY567" s="60"/>
      <c r="AZ567" s="137"/>
      <c r="BA567" s="25" t="s">
        <v>283</v>
      </c>
      <c r="BB567" s="22"/>
      <c r="BC567" s="132">
        <f>BD567-BH567</f>
        <v>282</v>
      </c>
      <c r="BD567" s="42">
        <v>1118</v>
      </c>
      <c r="BE567" s="42">
        <v>974</v>
      </c>
      <c r="BF567" s="42">
        <v>632</v>
      </c>
      <c r="BG567" s="42">
        <v>750</v>
      </c>
      <c r="BH567" s="42">
        <v>836</v>
      </c>
      <c r="BI567" s="53">
        <f>AVERAGE(BD567:BH567)</f>
        <v>862</v>
      </c>
    </row>
    <row r="568" spans="17:61" ht="12">
      <c r="Q568" s="133" t="s">
        <v>284</v>
      </c>
      <c r="R568" s="133"/>
      <c r="S568" s="132">
        <f>T568-X568</f>
        <v>1041</v>
      </c>
      <c r="T568" s="42">
        <v>2421</v>
      </c>
      <c r="U568" s="42">
        <v>2306</v>
      </c>
      <c r="V568" s="42">
        <v>1446</v>
      </c>
      <c r="W568" s="42">
        <v>1451</v>
      </c>
      <c r="X568" s="42">
        <v>1380</v>
      </c>
      <c r="Y568" s="53">
        <f>AVERAGE(T568:X568)</f>
        <v>1800.8</v>
      </c>
      <c r="AC568" s="28" t="s">
        <v>71</v>
      </c>
      <c r="AD568" s="28" t="s">
        <v>71</v>
      </c>
      <c r="AE568" s="28" t="s">
        <v>71</v>
      </c>
      <c r="AF568" s="28" t="s">
        <v>71</v>
      </c>
      <c r="AG568" s="28" t="s">
        <v>71</v>
      </c>
      <c r="AH568" s="138" t="s">
        <v>71</v>
      </c>
      <c r="AI568" s="133" t="s">
        <v>284</v>
      </c>
      <c r="AK568" s="132">
        <f>AL568-AP568</f>
        <v>-6</v>
      </c>
      <c r="AL568" s="133">
        <v>28</v>
      </c>
      <c r="AM568" s="133">
        <v>34</v>
      </c>
      <c r="AN568" s="133">
        <v>36</v>
      </c>
      <c r="AO568" s="133">
        <v>34</v>
      </c>
      <c r="AP568" s="133">
        <v>34</v>
      </c>
      <c r="AQ568" s="53">
        <f>AVERAGE(AL568:AP568)</f>
        <v>33.2</v>
      </c>
      <c r="AR568" s="60"/>
      <c r="AS568" s="60"/>
      <c r="AT568" s="60"/>
      <c r="AU568" s="62" t="s">
        <v>71</v>
      </c>
      <c r="AV568" s="62" t="s">
        <v>71</v>
      </c>
      <c r="AW568" s="62" t="s">
        <v>71</v>
      </c>
      <c r="AX568" s="62" t="s">
        <v>71</v>
      </c>
      <c r="AY568" s="62" t="s">
        <v>71</v>
      </c>
      <c r="AZ568" s="138" t="s">
        <v>71</v>
      </c>
      <c r="BA568" s="133" t="s">
        <v>284</v>
      </c>
      <c r="BC568" s="132">
        <f>BD568-BH568</f>
        <v>-460</v>
      </c>
      <c r="BD568" s="133">
        <v>742</v>
      </c>
      <c r="BE568" s="133">
        <v>716</v>
      </c>
      <c r="BF568" s="42">
        <v>708</v>
      </c>
      <c r="BG568" s="42">
        <v>962</v>
      </c>
      <c r="BH568" s="42">
        <v>1202</v>
      </c>
      <c r="BI568" s="53">
        <f>AVERAGE(BD568:BH568)</f>
        <v>866</v>
      </c>
    </row>
    <row r="569" spans="18:61" ht="12">
      <c r="R569" s="22"/>
      <c r="S569" s="132"/>
      <c r="T569" s="42"/>
      <c r="U569" s="42"/>
      <c r="V569" s="42"/>
      <c r="W569" s="42"/>
      <c r="X569" s="42"/>
      <c r="Y569" s="53"/>
      <c r="Z569" s="22"/>
      <c r="AA569" s="22"/>
      <c r="AB569" s="22"/>
      <c r="AC569" s="28" t="s">
        <v>68</v>
      </c>
      <c r="AD569" s="28" t="s">
        <v>68</v>
      </c>
      <c r="AE569" s="28" t="s">
        <v>68</v>
      </c>
      <c r="AF569" s="28" t="s">
        <v>68</v>
      </c>
      <c r="AG569" s="28" t="s">
        <v>68</v>
      </c>
      <c r="AH569" s="138" t="s">
        <v>68</v>
      </c>
      <c r="AI569" s="25"/>
      <c r="AJ569" s="22"/>
      <c r="AK569" s="132"/>
      <c r="AL569" s="25"/>
      <c r="AM569" s="25"/>
      <c r="AN569" s="25"/>
      <c r="AO569" s="25"/>
      <c r="AP569" s="25"/>
      <c r="AQ569" s="53"/>
      <c r="AR569" s="64"/>
      <c r="AS569" s="64"/>
      <c r="AT569" s="64"/>
      <c r="AU569" s="62" t="s">
        <v>68</v>
      </c>
      <c r="AV569" s="62" t="s">
        <v>68</v>
      </c>
      <c r="AW569" s="62" t="s">
        <v>68</v>
      </c>
      <c r="AX569" s="62" t="s">
        <v>68</v>
      </c>
      <c r="AY569" s="62" t="s">
        <v>68</v>
      </c>
      <c r="AZ569" s="138" t="s">
        <v>68</v>
      </c>
      <c r="BA569" s="25"/>
      <c r="BB569" s="22"/>
      <c r="BC569" s="132"/>
      <c r="BI569" s="53"/>
    </row>
    <row r="570" spans="26:52" ht="12">
      <c r="Z570" s="22" t="s">
        <v>102</v>
      </c>
      <c r="AB570" s="132">
        <f>AC570-AG570</f>
        <v>-9</v>
      </c>
      <c r="AC570" s="42">
        <f>AC542-AC543</f>
        <v>177</v>
      </c>
      <c r="AD570" s="42">
        <f>AD542-AD543</f>
        <v>191</v>
      </c>
      <c r="AE570" s="42">
        <f>AE542-AE543</f>
        <v>256</v>
      </c>
      <c r="AF570" s="42">
        <f>AF542-AF543</f>
        <v>173</v>
      </c>
      <c r="AG570" s="42">
        <f>AG542-AG543</f>
        <v>186</v>
      </c>
      <c r="AH570" s="53">
        <f>AVERAGE(AC570:AG570)</f>
        <v>196.6</v>
      </c>
      <c r="AR570" s="64" t="s">
        <v>102</v>
      </c>
      <c r="AS570" s="60"/>
      <c r="AT570" s="134">
        <f>AU570-AY570</f>
        <v>-251</v>
      </c>
      <c r="AU570" s="65">
        <f>AU542-AU543</f>
        <v>1007</v>
      </c>
      <c r="AV570" s="65">
        <f>AV542-AV543</f>
        <v>1340</v>
      </c>
      <c r="AW570" s="65">
        <f>AW542-AW543</f>
        <v>1331</v>
      </c>
      <c r="AX570" s="65">
        <f>AX542-AX543</f>
        <v>1103</v>
      </c>
      <c r="AY570" s="65">
        <f>AY542-AY543</f>
        <v>1258</v>
      </c>
      <c r="AZ570" s="53">
        <f>AVERAGE(AU570:AY570)</f>
        <v>1207.8</v>
      </c>
    </row>
    <row r="571" spans="26:52" ht="12">
      <c r="Z571" s="22" t="s">
        <v>104</v>
      </c>
      <c r="AB571" s="132">
        <f>AC571-AG571</f>
        <v>62</v>
      </c>
      <c r="AC571" s="42">
        <f>AC547-AC570</f>
        <v>14</v>
      </c>
      <c r="AD571" s="42">
        <f>AD547-AD570</f>
        <v>-22</v>
      </c>
      <c r="AE571" s="42">
        <f>AE547-AE570</f>
        <v>-121</v>
      </c>
      <c r="AF571" s="42">
        <f>AF547-AF570</f>
        <v>-44</v>
      </c>
      <c r="AG571" s="42">
        <f>AG547-AG570</f>
        <v>-48</v>
      </c>
      <c r="AH571" s="53">
        <f>AVERAGE(AC571:AG571)</f>
        <v>-44.2</v>
      </c>
      <c r="AR571" s="64" t="s">
        <v>104</v>
      </c>
      <c r="AS571" s="60"/>
      <c r="AT571" s="134">
        <f>AU571-AY571</f>
        <v>-776</v>
      </c>
      <c r="AU571" s="65">
        <f>AU547-AU570</f>
        <v>1559</v>
      </c>
      <c r="AV571" s="65">
        <f>AV547-AV570</f>
        <v>1069</v>
      </c>
      <c r="AW571" s="65">
        <f>AW547-AW570</f>
        <v>1008</v>
      </c>
      <c r="AX571" s="65">
        <f>AX547-AX570</f>
        <v>2132</v>
      </c>
      <c r="AY571" s="65">
        <f>AY547-AY570</f>
        <v>2335</v>
      </c>
      <c r="AZ571" s="53">
        <f>AVERAGE(AU571:AY571)</f>
        <v>1620.6</v>
      </c>
    </row>
    <row r="572" spans="20:61" ht="12">
      <c r="T572" s="28" t="s">
        <v>71</v>
      </c>
      <c r="U572" s="28" t="s">
        <v>71</v>
      </c>
      <c r="V572" s="28" t="s">
        <v>71</v>
      </c>
      <c r="W572" s="28" t="s">
        <v>71</v>
      </c>
      <c r="X572" s="28" t="s">
        <v>71</v>
      </c>
      <c r="Y572" s="138" t="s">
        <v>71</v>
      </c>
      <c r="Z572" s="22"/>
      <c r="AC572" s="33"/>
      <c r="AD572" s="33"/>
      <c r="AE572" s="33"/>
      <c r="AF572" s="33"/>
      <c r="AG572" s="33"/>
      <c r="AH572" s="140"/>
      <c r="AI572" s="25"/>
      <c r="AJ572" s="25"/>
      <c r="AK572" s="25"/>
      <c r="AL572" s="28" t="s">
        <v>71</v>
      </c>
      <c r="AM572" s="28" t="s">
        <v>71</v>
      </c>
      <c r="AN572" s="28" t="s">
        <v>71</v>
      </c>
      <c r="AO572" s="28" t="s">
        <v>71</v>
      </c>
      <c r="AP572" s="28" t="s">
        <v>71</v>
      </c>
      <c r="AQ572" s="138" t="s">
        <v>71</v>
      </c>
      <c r="AR572" s="64"/>
      <c r="AS572" s="60"/>
      <c r="AT572" s="60"/>
      <c r="AU572" s="69"/>
      <c r="AV572" s="69"/>
      <c r="AW572" s="69"/>
      <c r="AX572" s="69"/>
      <c r="AY572" s="69"/>
      <c r="AZ572" s="140"/>
      <c r="BD572" s="143" t="s">
        <v>71</v>
      </c>
      <c r="BE572" s="143" t="s">
        <v>71</v>
      </c>
      <c r="BF572" s="143" t="s">
        <v>71</v>
      </c>
      <c r="BG572" s="143" t="s">
        <v>71</v>
      </c>
      <c r="BH572" s="143" t="s">
        <v>71</v>
      </c>
      <c r="BI572" s="138" t="s">
        <v>71</v>
      </c>
    </row>
    <row r="573" spans="17:61" ht="12">
      <c r="Q573" s="22"/>
      <c r="R573" s="22"/>
      <c r="S573" s="22"/>
      <c r="T573" s="28" t="s">
        <v>38</v>
      </c>
      <c r="U573" s="28" t="s">
        <v>38</v>
      </c>
      <c r="V573" s="28" t="s">
        <v>38</v>
      </c>
      <c r="W573" s="28" t="s">
        <v>38</v>
      </c>
      <c r="X573" s="28" t="s">
        <v>38</v>
      </c>
      <c r="Y573" s="143" t="s">
        <v>38</v>
      </c>
      <c r="Z573" s="22"/>
      <c r="AC573" s="48" t="s">
        <v>105</v>
      </c>
      <c r="AD573" s="48" t="s">
        <v>105</v>
      </c>
      <c r="AE573" s="48" t="s">
        <v>105</v>
      </c>
      <c r="AF573" s="48" t="s">
        <v>105</v>
      </c>
      <c r="AG573" s="48" t="s">
        <v>105</v>
      </c>
      <c r="AH573" s="141" t="s">
        <v>105</v>
      </c>
      <c r="AI573" s="22"/>
      <c r="AJ573" s="22"/>
      <c r="AK573" s="22"/>
      <c r="AL573" s="28" t="s">
        <v>38</v>
      </c>
      <c r="AM573" s="28" t="s">
        <v>38</v>
      </c>
      <c r="AN573" s="28" t="s">
        <v>38</v>
      </c>
      <c r="AO573" s="28" t="s">
        <v>38</v>
      </c>
      <c r="AP573" s="28" t="s">
        <v>38</v>
      </c>
      <c r="AQ573" s="143" t="s">
        <v>38</v>
      </c>
      <c r="AR573" s="64"/>
      <c r="AS573" s="60"/>
      <c r="AT573" s="60"/>
      <c r="AU573" s="70" t="s">
        <v>105</v>
      </c>
      <c r="AV573" s="70" t="s">
        <v>105</v>
      </c>
      <c r="AW573" s="70" t="s">
        <v>105</v>
      </c>
      <c r="AX573" s="70" t="s">
        <v>105</v>
      </c>
      <c r="AY573" s="70" t="s">
        <v>105</v>
      </c>
      <c r="AZ573" s="141" t="s">
        <v>105</v>
      </c>
      <c r="BA573" s="139"/>
      <c r="BB573" s="139"/>
      <c r="BC573" s="139"/>
      <c r="BD573" s="143" t="s">
        <v>38</v>
      </c>
      <c r="BE573" s="143" t="s">
        <v>38</v>
      </c>
      <c r="BF573" s="143" t="s">
        <v>38</v>
      </c>
      <c r="BG573" s="143" t="s">
        <v>38</v>
      </c>
      <c r="BH573" s="143" t="s">
        <v>38</v>
      </c>
      <c r="BI573" s="143" t="s">
        <v>38</v>
      </c>
    </row>
    <row r="574" spans="17:61" ht="12">
      <c r="Q574" s="22" t="s">
        <v>102</v>
      </c>
      <c r="S574" s="132">
        <f>T574-X574</f>
        <v>6654</v>
      </c>
      <c r="T574" s="42">
        <f>T542-T543</f>
        <v>9803</v>
      </c>
      <c r="U574" s="42">
        <f>U542-U543</f>
        <v>9562</v>
      </c>
      <c r="V574" s="42">
        <f>V542-V543</f>
        <v>3481</v>
      </c>
      <c r="W574" s="42">
        <f>W542-W543</f>
        <v>3311</v>
      </c>
      <c r="X574" s="42">
        <f>X542-X543</f>
        <v>3149</v>
      </c>
      <c r="Y574" s="53">
        <f>AVERAGE(T574:X574)</f>
        <v>5861.2</v>
      </c>
      <c r="Z574" s="22" t="s">
        <v>53</v>
      </c>
      <c r="AB574" s="44">
        <f aca="true" t="shared" si="271" ref="AB574:AB580">AC574-AG574</f>
        <v>-0.8656825223254963</v>
      </c>
      <c r="AC574" s="51">
        <f>(AC544/AC570)*100</f>
        <v>26.55367231638418</v>
      </c>
      <c r="AD574" s="51">
        <f>(AD544/AD570)*100</f>
        <v>30.89005235602094</v>
      </c>
      <c r="AE574" s="51">
        <f>(AE544/AE570)*100</f>
        <v>19.140625</v>
      </c>
      <c r="AF574" s="51">
        <f>(AF544/AF570)*100</f>
        <v>28.32369942196532</v>
      </c>
      <c r="AG574" s="51">
        <f>(AG544/AG570)*100</f>
        <v>27.419354838709676</v>
      </c>
      <c r="AH574" s="140">
        <f aca="true" t="shared" si="272" ref="AH574:AH580">AVERAGE(AC574:AG574)</f>
        <v>26.465480786616023</v>
      </c>
      <c r="AI574" s="22" t="s">
        <v>102</v>
      </c>
      <c r="AJ574" s="25"/>
      <c r="AK574" s="132">
        <f>AL574-AP574</f>
        <v>-18</v>
      </c>
      <c r="AL574" s="42">
        <f>AL542-AL543</f>
        <v>354</v>
      </c>
      <c r="AM574" s="42">
        <f>AM542-AM543</f>
        <v>382</v>
      </c>
      <c r="AN574" s="42">
        <f>AN542-AN543</f>
        <v>512</v>
      </c>
      <c r="AO574" s="42">
        <f>AO542-AO543</f>
        <v>346</v>
      </c>
      <c r="AP574" s="42">
        <f>AP542-AP543</f>
        <v>372</v>
      </c>
      <c r="AQ574" s="53">
        <f>AVERAGE(AL574:AP574)</f>
        <v>393.2</v>
      </c>
      <c r="AR574" s="64" t="s">
        <v>53</v>
      </c>
      <c r="AS574" s="60"/>
      <c r="AT574" s="134">
        <f aca="true" t="shared" si="273" ref="AT574:AT580">AU574-AY574</f>
        <v>-48.75213726490088</v>
      </c>
      <c r="AU574" s="72">
        <f>(AU544/AU570)*100</f>
        <v>173.58490566037736</v>
      </c>
      <c r="AV574" s="72">
        <f>(AV544/AV570)*100</f>
        <v>121.34328358208954</v>
      </c>
      <c r="AW574" s="72">
        <f>(AW544/AW570)*100</f>
        <v>151.01427498121714</v>
      </c>
      <c r="AX574" s="72">
        <f>(AX544/AX570)*100</f>
        <v>223.20942883046237</v>
      </c>
      <c r="AY574" s="72">
        <f>(AY544/AY570)*100</f>
        <v>222.33704292527824</v>
      </c>
      <c r="AZ574" s="140">
        <f aca="true" t="shared" si="274" ref="AZ574:AZ580">AVERAGE(AU574:AY574)</f>
        <v>178.29778719588495</v>
      </c>
      <c r="BA574" s="139" t="s">
        <v>102</v>
      </c>
      <c r="BC574" s="146">
        <f>BD574-BH574</f>
        <v>-502</v>
      </c>
      <c r="BD574" s="147">
        <f>BD542-BD543</f>
        <v>2014</v>
      </c>
      <c r="BE574" s="147">
        <f>BE542-BE543</f>
        <v>2680</v>
      </c>
      <c r="BF574" s="147">
        <f>BF542-BF543</f>
        <v>2662</v>
      </c>
      <c r="BG574" s="147">
        <f>BG542-BG543</f>
        <v>2206</v>
      </c>
      <c r="BH574" s="147">
        <f>BH542-BH543</f>
        <v>2516</v>
      </c>
      <c r="BI574" s="53">
        <f>AVERAGE(BD574:BH574)</f>
        <v>2415.6</v>
      </c>
    </row>
    <row r="575" spans="17:61" ht="12">
      <c r="Q575" s="22" t="s">
        <v>104</v>
      </c>
      <c r="S575" s="44">
        <f>T575-X575</f>
        <v>-0.6028647817061206</v>
      </c>
      <c r="T575" s="33">
        <f>T547/T574</f>
        <v>0.5962460471284301</v>
      </c>
      <c r="U575" s="33">
        <f>U547/U574</f>
        <v>0.5759255385902531</v>
      </c>
      <c r="V575" s="33">
        <f>V547/V574</f>
        <v>1.2370008618213157</v>
      </c>
      <c r="W575" s="33">
        <f>W547/W574</f>
        <v>1.2080942313500453</v>
      </c>
      <c r="X575" s="33">
        <f>X547/X574</f>
        <v>1.1991108288345507</v>
      </c>
      <c r="Y575" s="140">
        <f>AVERAGE(T575:X575)</f>
        <v>0.963275501544919</v>
      </c>
      <c r="Z575" s="22" t="s">
        <v>54</v>
      </c>
      <c r="AB575" s="44">
        <f t="shared" si="271"/>
        <v>176.44966948372522</v>
      </c>
      <c r="AC575" s="51">
        <f>AC549/AC550</f>
        <v>250.77399380804954</v>
      </c>
      <c r="AD575" s="51">
        <f>AD549/AD550</f>
        <v>906.9767441860466</v>
      </c>
      <c r="AE575" s="51">
        <f>AE549/AE550</f>
        <v>152.2248243559719</v>
      </c>
      <c r="AF575" s="51">
        <f>AF549/AF550</f>
        <v>159.2505854800937</v>
      </c>
      <c r="AG575" s="51">
        <f>AG549/AG550</f>
        <v>74.32432432432432</v>
      </c>
      <c r="AH575" s="140">
        <f t="shared" si="272"/>
        <v>308.7100944308972</v>
      </c>
      <c r="AI575" s="22" t="s">
        <v>104</v>
      </c>
      <c r="AJ575" s="25"/>
      <c r="AK575" s="44">
        <f>AL575-AP575</f>
        <v>0.3371605613267723</v>
      </c>
      <c r="AL575" s="33">
        <f>AL547/AL574</f>
        <v>1.07909604519774</v>
      </c>
      <c r="AM575" s="33">
        <f>AM547/AM574</f>
        <v>0.8848167539267016</v>
      </c>
      <c r="AN575" s="33">
        <f>AN547/AN574</f>
        <v>0.52734375</v>
      </c>
      <c r="AO575" s="33">
        <f>AO547/AO574</f>
        <v>0.7456647398843931</v>
      </c>
      <c r="AP575" s="33">
        <f>AP547/AP574</f>
        <v>0.7419354838709677</v>
      </c>
      <c r="AQ575" s="140">
        <f>AVERAGE(AL575:AP575)</f>
        <v>0.7957713545759605</v>
      </c>
      <c r="AR575" s="64" t="s">
        <v>54</v>
      </c>
      <c r="AS575" s="60"/>
      <c r="AT575" s="134">
        <f t="shared" si="273"/>
        <v>-5.972866026003391</v>
      </c>
      <c r="AU575" s="72">
        <f>AU549/-AU550</f>
        <v>-3.5245901639344264</v>
      </c>
      <c r="AV575" s="72">
        <f>AV549/-AV550</f>
        <v>-3.2244897959183674</v>
      </c>
      <c r="AW575" s="72">
        <f>AW549/-AW550</f>
        <v>-5.066666666666666</v>
      </c>
      <c r="AX575" s="72">
        <f>AX549/-AX550</f>
        <v>-2.888888888888889</v>
      </c>
      <c r="AY575" s="72">
        <f>AY549/-AY550</f>
        <v>2.4482758620689653</v>
      </c>
      <c r="AZ575" s="140">
        <f t="shared" si="274"/>
        <v>-2.4512719306678767</v>
      </c>
      <c r="BA575" s="139" t="s">
        <v>104</v>
      </c>
      <c r="BC575" s="148">
        <f>BD575-BH575</f>
        <v>-0.3079579667289227</v>
      </c>
      <c r="BD575" s="149">
        <f>BD547/BD574</f>
        <v>2.548162859980139</v>
      </c>
      <c r="BE575" s="149">
        <f>BE547/BE574</f>
        <v>1.7977611940298508</v>
      </c>
      <c r="BF575" s="149">
        <f>BF547/BF574</f>
        <v>1.7573253193087903</v>
      </c>
      <c r="BG575" s="149">
        <f>BG547/BG574</f>
        <v>2.9329102447869446</v>
      </c>
      <c r="BH575" s="149">
        <f>BH547/BH574</f>
        <v>2.856120826709062</v>
      </c>
      <c r="BI575" s="140">
        <f>AVERAGE(BD575:BH575)</f>
        <v>2.3784560889629573</v>
      </c>
    </row>
    <row r="576" spans="17:61" ht="12">
      <c r="Q576" s="22"/>
      <c r="T576" s="33"/>
      <c r="U576" s="33"/>
      <c r="V576" s="33"/>
      <c r="W576" s="33"/>
      <c r="X576" s="33"/>
      <c r="Y576" s="140"/>
      <c r="Z576" s="22" t="s">
        <v>97</v>
      </c>
      <c r="AB576" s="44">
        <f t="shared" si="271"/>
        <v>20.54719562243502</v>
      </c>
      <c r="AC576" s="51">
        <f>(AC552/AC545)*100</f>
        <v>3.488372093023256</v>
      </c>
      <c r="AD576" s="51">
        <f>(AD552/AD545)*100</f>
        <v>9.18918918918919</v>
      </c>
      <c r="AE576" s="51">
        <f>(AE552/AE545)*100</f>
        <v>36.3265306122449</v>
      </c>
      <c r="AF576" s="51">
        <f>(AF552/AF545)*100</f>
        <v>-10.828025477707007</v>
      </c>
      <c r="AG576" s="51">
        <f>(AG552/AG545)*100</f>
        <v>-17.058823529411764</v>
      </c>
      <c r="AH576" s="140">
        <f t="shared" si="272"/>
        <v>4.223448577467715</v>
      </c>
      <c r="AI576" s="22"/>
      <c r="AJ576" s="25"/>
      <c r="AK576" s="25"/>
      <c r="AL576" s="33"/>
      <c r="AM576" s="33"/>
      <c r="AN576" s="33"/>
      <c r="AO576" s="33"/>
      <c r="AP576" s="33"/>
      <c r="AQ576" s="140"/>
      <c r="AR576" s="64" t="s">
        <v>97</v>
      </c>
      <c r="AS576" s="60"/>
      <c r="AT576" s="134">
        <f t="shared" si="273"/>
        <v>216.02057380809543</v>
      </c>
      <c r="AU576" s="72">
        <f>(AU552/AU545)*100</f>
        <v>177.32558139534885</v>
      </c>
      <c r="AV576" s="72">
        <f>(AV552/AV545)*100</f>
        <v>94.32485322896281</v>
      </c>
      <c r="AW576" s="72">
        <f>(AW552/AW545)*100</f>
        <v>65.78947368421053</v>
      </c>
      <c r="AX576" s="72">
        <f>(AX552/AX545)*100</f>
        <v>12.285012285012286</v>
      </c>
      <c r="AY576" s="72">
        <f>(AY552/AY545)*100</f>
        <v>-38.694992412746586</v>
      </c>
      <c r="AZ576" s="140">
        <f t="shared" si="274"/>
        <v>62.205985636157564</v>
      </c>
      <c r="BA576" s="139"/>
      <c r="BD576" s="149"/>
      <c r="BE576" s="149"/>
      <c r="BF576" s="149"/>
      <c r="BG576" s="149"/>
      <c r="BH576" s="149"/>
      <c r="BI576" s="140"/>
    </row>
    <row r="577" spans="17:61" ht="12">
      <c r="Q577" s="22"/>
      <c r="T577" s="48" t="s">
        <v>105</v>
      </c>
      <c r="U577" s="48" t="s">
        <v>105</v>
      </c>
      <c r="V577" s="48" t="s">
        <v>105</v>
      </c>
      <c r="W577" s="48" t="s">
        <v>105</v>
      </c>
      <c r="X577" s="48" t="s">
        <v>105</v>
      </c>
      <c r="Y577" s="141" t="s">
        <v>105</v>
      </c>
      <c r="Z577" s="22" t="s">
        <v>86</v>
      </c>
      <c r="AB577" s="44">
        <f t="shared" si="271"/>
        <v>-5.417709993170959</v>
      </c>
      <c r="AC577" s="51">
        <f>(AC549/AC547)*100</f>
        <v>42.40837696335078</v>
      </c>
      <c r="AD577" s="51">
        <f>(AD549/AD547)*100</f>
        <v>46.15384615384615</v>
      </c>
      <c r="AE577" s="51">
        <f>(AE549/AE547)*100</f>
        <v>48.148148148148145</v>
      </c>
      <c r="AF577" s="51">
        <f>(AF549/AF547)*100</f>
        <v>52.71317829457365</v>
      </c>
      <c r="AG577" s="51">
        <f>(AG549/AG547)*100</f>
        <v>47.82608695652174</v>
      </c>
      <c r="AH577" s="140">
        <f t="shared" si="272"/>
        <v>47.4499273032881</v>
      </c>
      <c r="AI577" s="22"/>
      <c r="AJ577" s="25"/>
      <c r="AK577" s="25"/>
      <c r="AL577" s="48" t="s">
        <v>105</v>
      </c>
      <c r="AM577" s="48" t="s">
        <v>105</v>
      </c>
      <c r="AN577" s="48" t="s">
        <v>105</v>
      </c>
      <c r="AO577" s="48" t="s">
        <v>105</v>
      </c>
      <c r="AP577" s="48" t="s">
        <v>105</v>
      </c>
      <c r="AQ577" s="141" t="s">
        <v>105</v>
      </c>
      <c r="AR577" s="64" t="s">
        <v>86</v>
      </c>
      <c r="AS577" s="60"/>
      <c r="AT577" s="134">
        <f t="shared" si="273"/>
        <v>12.330928828225142</v>
      </c>
      <c r="AU577" s="72">
        <f>(AU549/AU547)*100</f>
        <v>8.378799688230709</v>
      </c>
      <c r="AV577" s="72">
        <f>(AV549/AV547)*100</f>
        <v>6.55873806558738</v>
      </c>
      <c r="AW577" s="72">
        <f>(AW549/AW547)*100</f>
        <v>6.4985036340316364</v>
      </c>
      <c r="AX577" s="72">
        <f>(AX549/AX547)*100</f>
        <v>4.01854714064915</v>
      </c>
      <c r="AY577" s="72">
        <f>(AY549/AY547)*100</f>
        <v>-3.9521291399944336</v>
      </c>
      <c r="AZ577" s="140">
        <f t="shared" si="274"/>
        <v>4.300491877700888</v>
      </c>
      <c r="BA577" s="139"/>
      <c r="BC577" s="25"/>
      <c r="BD577" s="25"/>
      <c r="BE577" s="25"/>
      <c r="BF577" s="25"/>
      <c r="BG577" s="25"/>
      <c r="BH577" s="25"/>
      <c r="BI577" s="25"/>
    </row>
    <row r="578" spans="17:61" ht="12">
      <c r="Q578" s="22" t="s">
        <v>53</v>
      </c>
      <c r="S578" s="44">
        <f aca="true" t="shared" si="275" ref="S578:S584">T578-X578</f>
        <v>-46.759967809155704</v>
      </c>
      <c r="T578" s="51">
        <f>(T544/T574)*100</f>
        <v>58.543303070488626</v>
      </c>
      <c r="U578" s="51">
        <f>(U544/U574)*100</f>
        <v>66.83748169838945</v>
      </c>
      <c r="V578" s="51">
        <f>(V544/V574)*100</f>
        <v>86.72795173800631</v>
      </c>
      <c r="W578" s="51">
        <f>(W544/W574)*100</f>
        <v>95.95288432497735</v>
      </c>
      <c r="X578" s="51">
        <f>(X544/X574)*100</f>
        <v>105.30327087964433</v>
      </c>
      <c r="Y578" s="140">
        <f aca="true" t="shared" si="276" ref="Y578:Y584">AVERAGE(T578:X578)</f>
        <v>82.6729783423012</v>
      </c>
      <c r="Z578" s="22" t="s">
        <v>23</v>
      </c>
      <c r="AB578" s="44">
        <f t="shared" si="271"/>
        <v>0.583333333333333</v>
      </c>
      <c r="AC578" s="51">
        <f>AC541/AC543</f>
        <v>2.6666666666666665</v>
      </c>
      <c r="AD578" s="51">
        <f>AD541/AD543</f>
        <v>2.3207547169811322</v>
      </c>
      <c r="AE578" s="51">
        <f>AE541/AE543</f>
        <v>4.717948717948718</v>
      </c>
      <c r="AF578" s="51">
        <f>AF541/AF543</f>
        <v>1.7941176470588236</v>
      </c>
      <c r="AG578" s="51">
        <f>AG541/AG543</f>
        <v>2.0833333333333335</v>
      </c>
      <c r="AH578" s="140">
        <f t="shared" si="272"/>
        <v>2.7165642163977353</v>
      </c>
      <c r="AI578" s="22" t="s">
        <v>53</v>
      </c>
      <c r="AJ578" s="25"/>
      <c r="AK578" s="44">
        <f aca="true" t="shared" si="277" ref="AK578:AK584">AL578-AP578</f>
        <v>-0.8656825223254963</v>
      </c>
      <c r="AL578" s="51">
        <f>(AL544/AL574)*100</f>
        <v>26.55367231638418</v>
      </c>
      <c r="AM578" s="51">
        <f>(AM544/AM574)*100</f>
        <v>30.89005235602094</v>
      </c>
      <c r="AN578" s="51">
        <f>(AN544/AN574)*100</f>
        <v>19.140625</v>
      </c>
      <c r="AO578" s="51">
        <f>(AO544/AO574)*100</f>
        <v>28.32369942196532</v>
      </c>
      <c r="AP578" s="51">
        <f>(AP544/AP574)*100</f>
        <v>27.419354838709676</v>
      </c>
      <c r="AQ578" s="140">
        <f aca="true" t="shared" si="278" ref="AQ578:AQ584">AVERAGE(AL578:AP578)</f>
        <v>26.465480786616023</v>
      </c>
      <c r="AR578" s="64" t="s">
        <v>23</v>
      </c>
      <c r="AS578" s="60"/>
      <c r="AT578" s="134">
        <f t="shared" si="273"/>
        <v>-0.24981188713826274</v>
      </c>
      <c r="AU578" s="72">
        <f>AU541/AU543</f>
        <v>0.6637458926615553</v>
      </c>
      <c r="AV578" s="72">
        <f>AV541/AV543</f>
        <v>1.2007528230865747</v>
      </c>
      <c r="AW578" s="72">
        <f>AW541/AW543</f>
        <v>1.1289031224979984</v>
      </c>
      <c r="AX578" s="72">
        <f>AX541/AX543</f>
        <v>0.9496036240090601</v>
      </c>
      <c r="AY578" s="72">
        <f>AY541/AY543</f>
        <v>0.913557779799818</v>
      </c>
      <c r="AZ578" s="140">
        <f t="shared" si="274"/>
        <v>0.9713126484110013</v>
      </c>
      <c r="BA578" s="139" t="s">
        <v>53</v>
      </c>
      <c r="BC578" s="148">
        <f aca="true" t="shared" si="279" ref="BC578:BC584">BD578-BH578</f>
        <v>-48.75213726490088</v>
      </c>
      <c r="BD578" s="144">
        <f>(BD544/BD574)*100</f>
        <v>173.58490566037736</v>
      </c>
      <c r="BE578" s="144">
        <f>(BE544/BE574)*100</f>
        <v>121.34328358208954</v>
      </c>
      <c r="BF578" s="144">
        <f>(BF544/BF574)*100</f>
        <v>151.01427498121714</v>
      </c>
      <c r="BG578" s="144">
        <f>(BG544/BG574)*100</f>
        <v>223.20942883046237</v>
      </c>
      <c r="BH578" s="144">
        <f>(BH544/BH574)*100</f>
        <v>222.33704292527824</v>
      </c>
      <c r="BI578" s="140">
        <f aca="true" t="shared" si="280" ref="BI578:BI584">AVERAGE(BD578:BH578)</f>
        <v>178.29778719588495</v>
      </c>
    </row>
    <row r="579" spans="17:61" ht="12">
      <c r="Q579" s="22" t="s">
        <v>54</v>
      </c>
      <c r="S579" s="44">
        <f t="shared" si="275"/>
        <v>-2.637545553038514</v>
      </c>
      <c r="T579" s="51">
        <f>T549/T550</f>
        <v>16.53146853146853</v>
      </c>
      <c r="U579" s="51">
        <f>U549/U550</f>
        <v>16.793893129770993</v>
      </c>
      <c r="V579" s="51">
        <f>V549/V550</f>
        <v>21.72222222222222</v>
      </c>
      <c r="W579" s="51">
        <f>W549/W550</f>
        <v>17.444444444444443</v>
      </c>
      <c r="X579" s="51">
        <f>X549/X550</f>
        <v>19.169014084507044</v>
      </c>
      <c r="Y579" s="140">
        <f t="shared" si="276"/>
        <v>18.332208482482645</v>
      </c>
      <c r="Z579" s="22" t="s">
        <v>49</v>
      </c>
      <c r="AB579" s="44">
        <f t="shared" si="271"/>
        <v>-34.08633132859486</v>
      </c>
      <c r="AC579" s="51">
        <f>((AC552-AC550-AC551)/AC570)*100</f>
        <v>0.38248587570621445</v>
      </c>
      <c r="AD579" s="51">
        <f>((AD552-AD550-AD551)/AD570)*100</f>
        <v>7.808376963350786</v>
      </c>
      <c r="AE579" s="51">
        <f>((AE549-AE550-AE551)/AE570)*100</f>
        <v>24.888281249999995</v>
      </c>
      <c r="AF579" s="51">
        <f>((AF549-AF550-AF551)/AF570)*100</f>
        <v>38.78959537572254</v>
      </c>
      <c r="AG579" s="51">
        <f>((AG549-AG550-AG551)/AG570)*100</f>
        <v>34.468817204301075</v>
      </c>
      <c r="AH579" s="140">
        <f t="shared" si="272"/>
        <v>21.267511333816124</v>
      </c>
      <c r="AI579" s="22" t="s">
        <v>54</v>
      </c>
      <c r="AJ579" s="25"/>
      <c r="AK579" s="44">
        <f t="shared" si="277"/>
        <v>176.44966948372522</v>
      </c>
      <c r="AL579" s="51">
        <f>AL549/AL550</f>
        <v>250.77399380804954</v>
      </c>
      <c r="AM579" s="51">
        <f>AM549/AM550</f>
        <v>906.9767441860466</v>
      </c>
      <c r="AN579" s="51">
        <f>AN549/AN550</f>
        <v>152.2248243559719</v>
      </c>
      <c r="AO579" s="51">
        <f>AO549/AO550</f>
        <v>159.2505854800937</v>
      </c>
      <c r="AP579" s="51">
        <f>AP549/AP550</f>
        <v>74.32432432432432</v>
      </c>
      <c r="AQ579" s="140">
        <f t="shared" si="278"/>
        <v>308.7100944308972</v>
      </c>
      <c r="AR579" s="64" t="s">
        <v>49</v>
      </c>
      <c r="AS579" s="60"/>
      <c r="AT579" s="134">
        <f t="shared" si="273"/>
        <v>42.55513472465397</v>
      </c>
      <c r="AU579" s="72">
        <f>((AU552-AU550-AU551)/AU570)*100</f>
        <v>20.854021847070506</v>
      </c>
      <c r="AV579" s="72">
        <f>((AV552-AV550-AV551)/AV570)*100</f>
        <v>30.522388059701495</v>
      </c>
      <c r="AW579" s="72">
        <f>((AW549-AW550-AW551)/AW570)*100</f>
        <v>5.935386927122464</v>
      </c>
      <c r="AX579" s="72">
        <f>((AX549-AX550-AX551)/AX570)*100</f>
        <v>4.71441523118767</v>
      </c>
      <c r="AY579" s="72">
        <f>((AY549-AY550-AY551)/AY570)*100</f>
        <v>-21.701112877583466</v>
      </c>
      <c r="AZ579" s="140">
        <f t="shared" si="274"/>
        <v>8.065019837499733</v>
      </c>
      <c r="BA579" s="139" t="s">
        <v>54</v>
      </c>
      <c r="BC579" s="148">
        <f t="shared" si="279"/>
        <v>5.972866026003391</v>
      </c>
      <c r="BD579" s="144">
        <f>BD549/BD550</f>
        <v>3.5245901639344264</v>
      </c>
      <c r="BE579" s="144">
        <f>BE549/BE550</f>
        <v>3.2244897959183674</v>
      </c>
      <c r="BF579" s="144">
        <f>BF549/BF550</f>
        <v>5.066666666666666</v>
      </c>
      <c r="BG579" s="144">
        <f>BG549/BG550</f>
        <v>2.888888888888889</v>
      </c>
      <c r="BH579" s="144">
        <f>BH549/BH550</f>
        <v>-2.4482758620689653</v>
      </c>
      <c r="BI579" s="140">
        <f t="shared" si="280"/>
        <v>2.4512719306678767</v>
      </c>
    </row>
    <row r="580" spans="17:61" ht="12">
      <c r="Q580" s="22" t="s">
        <v>97</v>
      </c>
      <c r="S580" s="44">
        <f t="shared" si="275"/>
        <v>-10.290996926978899</v>
      </c>
      <c r="T580" s="51">
        <f>(T552/T545)*100</f>
        <v>6.205948083204401</v>
      </c>
      <c r="U580" s="51">
        <f>(U552/U545)*100</f>
        <v>2.535211267605634</v>
      </c>
      <c r="V580" s="51">
        <f>(V552/V545)*100</f>
        <v>12.304809494066209</v>
      </c>
      <c r="W580" s="51">
        <f>(W552/W545)*100</f>
        <v>13.812154696132598</v>
      </c>
      <c r="X580" s="51">
        <f>(X552/X545)*100</f>
        <v>16.4969450101833</v>
      </c>
      <c r="Y580" s="140">
        <f t="shared" si="276"/>
        <v>10.271013710238426</v>
      </c>
      <c r="Z580" s="22" t="s">
        <v>50</v>
      </c>
      <c r="AB580" s="44">
        <f t="shared" si="271"/>
        <v>-46.10352075271265</v>
      </c>
      <c r="AC580" s="51">
        <f>((AC552-AC550-AC551)/AC547)*100</f>
        <v>0.35445026178010447</v>
      </c>
      <c r="AD580" s="51">
        <f>((AD552-AD550-AD551)/AD547)*100</f>
        <v>8.824852071005918</v>
      </c>
      <c r="AE580" s="51">
        <f>((AE549-AE550-AE551)/AE547)*100</f>
        <v>47.19555555555555</v>
      </c>
      <c r="AF580" s="51">
        <f>((AF549-AF550-AF551)/AF547)*100</f>
        <v>52.02015503875968</v>
      </c>
      <c r="AG580" s="51">
        <f>((AG549-AG550-AG551)/AG547)*100</f>
        <v>46.45797101449275</v>
      </c>
      <c r="AH580" s="140">
        <f t="shared" si="272"/>
        <v>30.9705967883188</v>
      </c>
      <c r="AI580" s="22" t="s">
        <v>97</v>
      </c>
      <c r="AJ580" s="25"/>
      <c r="AK580" s="44">
        <f t="shared" si="277"/>
        <v>20.54719562243502</v>
      </c>
      <c r="AL580" s="51">
        <f>(AL552/AL545)*100</f>
        <v>3.488372093023256</v>
      </c>
      <c r="AM580" s="51">
        <f>(AM552/AM545)*100</f>
        <v>9.18918918918919</v>
      </c>
      <c r="AN580" s="51">
        <f>(AN552/AN545)*100</f>
        <v>36.3265306122449</v>
      </c>
      <c r="AO580" s="51">
        <f>(AO552/AO545)*100</f>
        <v>-10.828025477707007</v>
      </c>
      <c r="AP580" s="51">
        <f>(AP552/AP545)*100</f>
        <v>-17.058823529411764</v>
      </c>
      <c r="AQ580" s="140">
        <f t="shared" si="278"/>
        <v>4.223448577467715</v>
      </c>
      <c r="AR580" s="64" t="s">
        <v>50</v>
      </c>
      <c r="AS580" s="60"/>
      <c r="AT580" s="134">
        <f t="shared" si="273"/>
        <v>15.782051312643729</v>
      </c>
      <c r="AU580" s="72">
        <f>((AU552-AU550-AU551)/AU547)*100</f>
        <v>8.18394388152767</v>
      </c>
      <c r="AV580" s="72">
        <f>((AV552-AV550-AV551)/AV547)*100</f>
        <v>16.97799916977999</v>
      </c>
      <c r="AW580" s="72">
        <f>((AW549-AW550-AW551)/AW547)*100</f>
        <v>3.37751175716118</v>
      </c>
      <c r="AX580" s="72">
        <f>((AX549-AX550-AX551)/AX547)*100</f>
        <v>1.60741885625966</v>
      </c>
      <c r="AY580" s="72">
        <f>((AY549-AY550-AY551)/AY547)*100</f>
        <v>-7.598107431116059</v>
      </c>
      <c r="AZ580" s="140">
        <f t="shared" si="274"/>
        <v>4.509753246722488</v>
      </c>
      <c r="BA580" s="139" t="s">
        <v>97</v>
      </c>
      <c r="BC580" s="148">
        <f t="shared" si="279"/>
        <v>216.02057380809543</v>
      </c>
      <c r="BD580" s="144">
        <f>(BD552/BD545)*100</f>
        <v>177.32558139534885</v>
      </c>
      <c r="BE580" s="144">
        <f>(BE552/BE545)*100</f>
        <v>94.32485322896281</v>
      </c>
      <c r="BF580" s="144">
        <f>(BF552/BF545)*100</f>
        <v>65.78947368421053</v>
      </c>
      <c r="BG580" s="144">
        <f>(BG552/BG545)*100</f>
        <v>12.285012285012286</v>
      </c>
      <c r="BH580" s="144">
        <f>(BH552/BH545)*100</f>
        <v>-38.694992412746586</v>
      </c>
      <c r="BI580" s="140">
        <f t="shared" si="280"/>
        <v>62.205985636157564</v>
      </c>
    </row>
    <row r="581" spans="17:61" ht="12">
      <c r="Q581" s="22" t="s">
        <v>86</v>
      </c>
      <c r="S581" s="44">
        <f t="shared" si="275"/>
        <v>4.401392433051576</v>
      </c>
      <c r="T581" s="51">
        <f>(T549/T547)*100</f>
        <v>40.4448246364414</v>
      </c>
      <c r="U581" s="51">
        <f>(U549/U547)*100</f>
        <v>39.949155620119846</v>
      </c>
      <c r="V581" s="51">
        <f>(V549/V547)*100</f>
        <v>36.32141198327915</v>
      </c>
      <c r="W581" s="51">
        <f>(W549/W547)*100</f>
        <v>35.325</v>
      </c>
      <c r="X581" s="51">
        <f>(X549/X547)*100</f>
        <v>36.04343220338983</v>
      </c>
      <c r="Y581" s="140">
        <f t="shared" si="276"/>
        <v>37.616764888646046</v>
      </c>
      <c r="AH581" s="137"/>
      <c r="AI581" s="22" t="s">
        <v>86</v>
      </c>
      <c r="AJ581" s="25"/>
      <c r="AK581" s="44">
        <f t="shared" si="277"/>
        <v>-5.417709993170959</v>
      </c>
      <c r="AL581" s="51">
        <f>(AL549/AL547)*100</f>
        <v>42.40837696335078</v>
      </c>
      <c r="AM581" s="51">
        <f>(AM549/AM547)*100</f>
        <v>46.15384615384615</v>
      </c>
      <c r="AN581" s="51">
        <f>(AN549/AN547)*100</f>
        <v>48.148148148148145</v>
      </c>
      <c r="AO581" s="51">
        <f>(AO549/AO547)*100</f>
        <v>52.71317829457365</v>
      </c>
      <c r="AP581" s="51">
        <f>(AP549/AP547)*100</f>
        <v>47.82608695652174</v>
      </c>
      <c r="AQ581" s="140">
        <f t="shared" si="278"/>
        <v>47.4499273032881</v>
      </c>
      <c r="AR581" s="60"/>
      <c r="AS581" s="60"/>
      <c r="AT581" s="60"/>
      <c r="AU581" s="60"/>
      <c r="AV581" s="60"/>
      <c r="AW581" s="60"/>
      <c r="AX581" s="60"/>
      <c r="AY581" s="60"/>
      <c r="AZ581" s="137"/>
      <c r="BA581" s="139" t="s">
        <v>86</v>
      </c>
      <c r="BC581" s="148">
        <f t="shared" si="279"/>
        <v>12.330928828225142</v>
      </c>
      <c r="BD581" s="144">
        <f>(BD549/BD547)*100</f>
        <v>8.378799688230709</v>
      </c>
      <c r="BE581" s="144">
        <f>(BE549/BE547)*100</f>
        <v>6.55873806558738</v>
      </c>
      <c r="BF581" s="144">
        <f>(BF549/BF547)*100</f>
        <v>6.4985036340316364</v>
      </c>
      <c r="BG581" s="144">
        <f>(BG549/BG547)*100</f>
        <v>4.01854714064915</v>
      </c>
      <c r="BH581" s="144">
        <f>(BH549/BH547)*100</f>
        <v>-3.9521291399944336</v>
      </c>
      <c r="BI581" s="140">
        <f t="shared" si="280"/>
        <v>4.300491877700888</v>
      </c>
    </row>
    <row r="582" spans="17:61" ht="12">
      <c r="Q582" s="22" t="s">
        <v>23</v>
      </c>
      <c r="S582" s="44">
        <f t="shared" si="275"/>
        <v>-0.10811846689895466</v>
      </c>
      <c r="T582" s="51">
        <f>T541/T543</f>
        <v>0.81</v>
      </c>
      <c r="U582" s="51">
        <f>U541/U543</f>
        <v>0.6562360303978543</v>
      </c>
      <c r="V582" s="51">
        <f>V541/V543</f>
        <v>1.0773152081563298</v>
      </c>
      <c r="W582" s="51">
        <f>W541/W543</f>
        <v>0.9514991181657848</v>
      </c>
      <c r="X582" s="51">
        <f>X541/X543</f>
        <v>0.9181184668989547</v>
      </c>
      <c r="Y582" s="140">
        <f t="shared" si="276"/>
        <v>0.8826337647237847</v>
      </c>
      <c r="AH582" s="137"/>
      <c r="AI582" s="22" t="s">
        <v>23</v>
      </c>
      <c r="AJ582" s="25"/>
      <c r="AK582" s="44">
        <f t="shared" si="277"/>
        <v>0.583333333333333</v>
      </c>
      <c r="AL582" s="51">
        <f>AL541/AL543</f>
        <v>2.6666666666666665</v>
      </c>
      <c r="AM582" s="51">
        <f>AM541/AM543</f>
        <v>2.3207547169811322</v>
      </c>
      <c r="AN582" s="51">
        <f>AN541/AN543</f>
        <v>4.717948717948718</v>
      </c>
      <c r="AO582" s="51">
        <f>AO541/AO543</f>
        <v>1.7941176470588236</v>
      </c>
      <c r="AP582" s="51">
        <f>AP541/AP543</f>
        <v>2.0833333333333335</v>
      </c>
      <c r="AQ582" s="140">
        <f t="shared" si="278"/>
        <v>2.7165642163977353</v>
      </c>
      <c r="AR582" s="60"/>
      <c r="AS582" s="60"/>
      <c r="AT582" s="60"/>
      <c r="AU582" s="60"/>
      <c r="AV582" s="60"/>
      <c r="AW582" s="60"/>
      <c r="AX582" s="60"/>
      <c r="AY582" s="60"/>
      <c r="AZ582" s="137"/>
      <c r="BA582" s="139" t="s">
        <v>23</v>
      </c>
      <c r="BC582" s="148">
        <f t="shared" si="279"/>
        <v>-0.24981188713826274</v>
      </c>
      <c r="BD582" s="144">
        <f>BD541/BD543</f>
        <v>0.6637458926615553</v>
      </c>
      <c r="BE582" s="144">
        <f>BE541/BE543</f>
        <v>1.2007528230865747</v>
      </c>
      <c r="BF582" s="144">
        <f>BF541/BF543</f>
        <v>1.1289031224979984</v>
      </c>
      <c r="BG582" s="144">
        <f>BG541/BG543</f>
        <v>0.9496036240090601</v>
      </c>
      <c r="BH582" s="144">
        <f>BH541/BH543</f>
        <v>0.913557779799818</v>
      </c>
      <c r="BI582" s="140">
        <f t="shared" si="280"/>
        <v>0.9713126484110013</v>
      </c>
    </row>
    <row r="583" spans="17:61" ht="12">
      <c r="Q583" s="22" t="s">
        <v>49</v>
      </c>
      <c r="S583" s="44">
        <f t="shared" si="275"/>
        <v>-4.438243171358584</v>
      </c>
      <c r="T583" s="51">
        <f>((T552+T550+T551)/T574)*100</f>
        <v>5.977761909619504</v>
      </c>
      <c r="U583" s="51">
        <f>((U552+U550+U551)/U574)*100</f>
        <v>3.3047479606776826</v>
      </c>
      <c r="V583" s="51">
        <f>((V552+V550+V551)/V574)*100</f>
        <v>10.456765297328353</v>
      </c>
      <c r="W583" s="51">
        <f>((W552+W550+W551)/W574)*100</f>
        <v>10.11778918755663</v>
      </c>
      <c r="X583" s="51">
        <f>((X552+X550+X551)/X574)*100</f>
        <v>10.416005080978088</v>
      </c>
      <c r="Y583" s="140">
        <f t="shared" si="276"/>
        <v>8.054613887232051</v>
      </c>
      <c r="AH583" s="137"/>
      <c r="AI583" s="22" t="s">
        <v>49</v>
      </c>
      <c r="AJ583" s="25"/>
      <c r="AK583" s="44">
        <f t="shared" si="277"/>
        <v>20.97351922726444</v>
      </c>
      <c r="AL583" s="51">
        <f>((AL552+AL550+AL551)/AL574)*100</f>
        <v>6.397175141242937</v>
      </c>
      <c r="AM583" s="51">
        <f>((AM552+AM550+AM551)/AM574)*100</f>
        <v>9.992670157068062</v>
      </c>
      <c r="AN583" s="51">
        <f>((AN552+AN550+AN551)/AN574)*100</f>
        <v>35.26796875</v>
      </c>
      <c r="AO583" s="51">
        <f>((AO552+AO550+AO551)/AO574)*100</f>
        <v>-9.309826589595376</v>
      </c>
      <c r="AP583" s="51">
        <f>((AP552+AP550+AP551)/AP574)*100</f>
        <v>-14.576344086021503</v>
      </c>
      <c r="AQ583" s="140">
        <f t="shared" si="278"/>
        <v>5.554328674538824</v>
      </c>
      <c r="AR583" s="60"/>
      <c r="AS583" s="60"/>
      <c r="AT583" s="60"/>
      <c r="AU583" s="60"/>
      <c r="AV583" s="60"/>
      <c r="AW583" s="60"/>
      <c r="AX583" s="60"/>
      <c r="AY583" s="60"/>
      <c r="AZ583" s="137"/>
      <c r="BA583" s="139" t="s">
        <v>49</v>
      </c>
      <c r="BC583" s="148">
        <f t="shared" si="279"/>
        <v>49.57886211464107</v>
      </c>
      <c r="BD583" s="144">
        <f>((BD552+BD550+BD551)/BD574)*100</f>
        <v>39.72194637537239</v>
      </c>
      <c r="BE583" s="144">
        <f>((BE552+BE550+BE551)/BE574)*100</f>
        <v>41.417910447761194</v>
      </c>
      <c r="BF583" s="144">
        <f>((BF552+BF550+BF551)/BF574)*100</f>
        <v>33.65890308039069</v>
      </c>
      <c r="BG583" s="144">
        <f>((BG552+BG550+BG551)/BG574)*100</f>
        <v>11.604714415231188</v>
      </c>
      <c r="BH583" s="144">
        <f>((BH552+BH550+BH551)/BH574)*100</f>
        <v>-9.85691573926868</v>
      </c>
      <c r="BI583" s="140">
        <f t="shared" si="280"/>
        <v>23.309311715897355</v>
      </c>
    </row>
    <row r="584" spans="17:61" ht="12">
      <c r="Q584" s="22" t="s">
        <v>50</v>
      </c>
      <c r="S584" s="44">
        <f t="shared" si="275"/>
        <v>1.3392222818285955</v>
      </c>
      <c r="T584" s="51">
        <f>((T552+T550+T551)/T547)*100</f>
        <v>10.025662959794698</v>
      </c>
      <c r="U584" s="51">
        <f>((U552+U550+U551)/U547)*100</f>
        <v>5.738151443617214</v>
      </c>
      <c r="V584" s="51">
        <f>((V552+V550+V551)/V547)*100</f>
        <v>8.453320947515095</v>
      </c>
      <c r="W584" s="51">
        <f>((W552+W550+W551)/W547)*100</f>
        <v>8.375</v>
      </c>
      <c r="X584" s="51">
        <f>((X552+X550+X551)/X547)*100</f>
        <v>8.686440677966102</v>
      </c>
      <c r="Y584" s="140">
        <f t="shared" si="276"/>
        <v>8.255715205778623</v>
      </c>
      <c r="AH584" s="137"/>
      <c r="AI584" s="22" t="s">
        <v>50</v>
      </c>
      <c r="AJ584" s="25"/>
      <c r="AK584" s="44">
        <f t="shared" si="277"/>
        <v>25.574649062903102</v>
      </c>
      <c r="AL584" s="51">
        <f>((AL552+AL550+AL551)/AL547)*100</f>
        <v>5.928272251308901</v>
      </c>
      <c r="AM584" s="51">
        <f>((AM552+AM550+AM551)/AM547)*100</f>
        <v>11.293491124260354</v>
      </c>
      <c r="AN584" s="51">
        <f>((AN552+AN550+AN551)/AN547)*100</f>
        <v>66.87851851851852</v>
      </c>
      <c r="AO584" s="51">
        <f>((AO552+AO550+AO551)/AO547)*100</f>
        <v>-12.48527131782946</v>
      </c>
      <c r="AP584" s="51">
        <f>((AP552+AP550+AP551)/AP547)*100</f>
        <v>-19.6463768115942</v>
      </c>
      <c r="AQ584" s="140">
        <f t="shared" si="278"/>
        <v>10.393726752932823</v>
      </c>
      <c r="AR584" s="60"/>
      <c r="AS584" s="60"/>
      <c r="AT584" s="60"/>
      <c r="AU584" s="60"/>
      <c r="AV584" s="60"/>
      <c r="AW584" s="60"/>
      <c r="AX584" s="60"/>
      <c r="AY584" s="60"/>
      <c r="AZ584" s="137"/>
      <c r="BA584" s="139" t="s">
        <v>50</v>
      </c>
      <c r="BC584" s="148">
        <f t="shared" si="279"/>
        <v>19.03961955990029</v>
      </c>
      <c r="BD584" s="144">
        <f>((BD552+BD550+BD551)/BD547)*100</f>
        <v>15.58846453624318</v>
      </c>
      <c r="BE584" s="144">
        <f>((BE552+BE550+BE551)/BE547)*100</f>
        <v>23.038605230386054</v>
      </c>
      <c r="BF584" s="144">
        <f>((BF552+BF550+BF551)/BF547)*100</f>
        <v>19.153484395040614</v>
      </c>
      <c r="BG584" s="144">
        <f>((BG552+BG550+BG551)/BG547)*100</f>
        <v>3.956723338485317</v>
      </c>
      <c r="BH584" s="144">
        <f>((BH552+BH550+BH551)/BH547)*100</f>
        <v>-3.4511550236571114</v>
      </c>
      <c r="BI584" s="140">
        <f t="shared" si="280"/>
        <v>11.657224495299612</v>
      </c>
    </row>
    <row r="585" spans="34:61" ht="12">
      <c r="AH585" s="137"/>
      <c r="AI585" s="25"/>
      <c r="AJ585" s="25"/>
      <c r="AK585" s="25"/>
      <c r="AL585" s="25"/>
      <c r="AM585" s="25"/>
      <c r="AN585" s="25"/>
      <c r="AO585" s="25"/>
      <c r="AP585" s="25"/>
      <c r="AQ585" s="137"/>
      <c r="AR585" s="60"/>
      <c r="AS585" s="60"/>
      <c r="AT585" s="60"/>
      <c r="AU585" s="60"/>
      <c r="AV585" s="60"/>
      <c r="AW585" s="60"/>
      <c r="AX585" s="60"/>
      <c r="AY585" s="60"/>
      <c r="AZ585" s="137"/>
      <c r="BI585" s="137"/>
    </row>
    <row r="586" spans="34:61" ht="12">
      <c r="AH586" s="137"/>
      <c r="AI586" s="25"/>
      <c r="AJ586" s="25"/>
      <c r="AK586" s="25"/>
      <c r="AL586" s="25"/>
      <c r="AM586" s="25"/>
      <c r="AN586" s="25"/>
      <c r="AO586" s="25"/>
      <c r="AP586" s="25"/>
      <c r="AQ586" s="137"/>
      <c r="AR586" s="60"/>
      <c r="AS586" s="60"/>
      <c r="AT586" s="60"/>
      <c r="AU586" s="60"/>
      <c r="AV586" s="60"/>
      <c r="AW586" s="60"/>
      <c r="AX586" s="60"/>
      <c r="AY586" s="60"/>
      <c r="AZ586" s="137"/>
      <c r="BI586" s="137"/>
    </row>
    <row r="587" spans="35:61" ht="12">
      <c r="AI587" s="25"/>
      <c r="AJ587" s="25"/>
      <c r="AK587" s="25"/>
      <c r="AL587" s="25"/>
      <c r="AM587" s="25"/>
      <c r="AN587" s="25"/>
      <c r="AO587" s="25"/>
      <c r="AP587" s="25"/>
      <c r="AR587" s="60"/>
      <c r="AS587" s="60"/>
      <c r="AT587" s="60"/>
      <c r="AU587" s="60"/>
      <c r="AV587" s="60"/>
      <c r="AW587" s="60"/>
      <c r="AX587" s="60"/>
      <c r="AY587" s="60"/>
      <c r="AZ587" s="137"/>
      <c r="BI587" s="137"/>
    </row>
    <row r="588" spans="35:61" ht="12">
      <c r="AI588" s="25"/>
      <c r="AJ588" s="25"/>
      <c r="AK588" s="25"/>
      <c r="AL588" s="25"/>
      <c r="AM588" s="25"/>
      <c r="AN588" s="25"/>
      <c r="AO588" s="25"/>
      <c r="AP588" s="25"/>
      <c r="AR588" s="60"/>
      <c r="AS588" s="60"/>
      <c r="AT588" s="60"/>
      <c r="AU588" s="60"/>
      <c r="AV588" s="60"/>
      <c r="AW588" s="60"/>
      <c r="AX588" s="60"/>
      <c r="AY588" s="60"/>
      <c r="AZ588" s="137"/>
      <c r="BI588" s="137"/>
    </row>
    <row r="589" spans="21:61" ht="12">
      <c r="U589" s="145" t="s">
        <v>230</v>
      </c>
      <c r="AI589" s="25"/>
      <c r="AJ589" s="25"/>
      <c r="AK589" s="25"/>
      <c r="AL589" s="25"/>
      <c r="AM589" s="145" t="s">
        <v>241</v>
      </c>
      <c r="AN589" s="25"/>
      <c r="AO589" s="25"/>
      <c r="AP589" s="25"/>
      <c r="AR589" s="60"/>
      <c r="AS589" s="60"/>
      <c r="AT589" s="60"/>
      <c r="AU589" s="60"/>
      <c r="AV589" s="60"/>
      <c r="AW589" s="60"/>
      <c r="AX589" s="60"/>
      <c r="AY589" s="60"/>
      <c r="AZ589" s="137"/>
      <c r="BE589" s="151" t="s">
        <v>252</v>
      </c>
      <c r="BI589" s="137"/>
    </row>
    <row r="590" spans="17:61" ht="12">
      <c r="Q590" s="23" t="s">
        <v>131</v>
      </c>
      <c r="R590" s="23"/>
      <c r="S590" s="23"/>
      <c r="T590" s="23"/>
      <c r="U590" s="23"/>
      <c r="V590" s="23"/>
      <c r="W590" s="23"/>
      <c r="X590" s="23"/>
      <c r="Y590" s="136"/>
      <c r="Z590" s="23" t="s">
        <v>147</v>
      </c>
      <c r="AA590" s="23"/>
      <c r="AB590" s="23"/>
      <c r="AC590" s="23"/>
      <c r="AD590" s="23"/>
      <c r="AE590" s="23"/>
      <c r="AF590" s="23"/>
      <c r="AG590" s="23"/>
      <c r="AH590" s="136"/>
      <c r="AI590" s="23" t="s">
        <v>147</v>
      </c>
      <c r="AJ590" s="23"/>
      <c r="AK590" s="23"/>
      <c r="AL590" s="23"/>
      <c r="AM590" s="23"/>
      <c r="AN590" s="23"/>
      <c r="AO590" s="23"/>
      <c r="AP590" s="23"/>
      <c r="AQ590" s="136"/>
      <c r="AR590" s="59" t="s">
        <v>167</v>
      </c>
      <c r="AS590" s="59"/>
      <c r="AT590" s="59"/>
      <c r="AU590" s="59"/>
      <c r="AV590" s="59"/>
      <c r="AW590" s="59"/>
      <c r="AX590" s="59"/>
      <c r="AY590" s="59"/>
      <c r="AZ590" s="136"/>
      <c r="BA590" s="136" t="s">
        <v>167</v>
      </c>
      <c r="BB590" s="136"/>
      <c r="BD590" s="25"/>
      <c r="BE590" s="25"/>
      <c r="BF590" s="25"/>
      <c r="BG590" s="25"/>
      <c r="BH590" s="25"/>
      <c r="BI590" s="25"/>
    </row>
    <row r="591" spans="34:61" ht="12">
      <c r="AH591" s="137"/>
      <c r="AI591" s="22" t="s">
        <v>220</v>
      </c>
      <c r="AJ591" s="25"/>
      <c r="AK591" s="25"/>
      <c r="AL591" s="25"/>
      <c r="AM591" s="25"/>
      <c r="AN591" s="25"/>
      <c r="AO591" s="25"/>
      <c r="AP591" s="25"/>
      <c r="AQ591" s="137"/>
      <c r="AR591" s="60"/>
      <c r="AS591" s="60"/>
      <c r="AT591" s="60"/>
      <c r="AU591" s="60"/>
      <c r="AV591" s="60"/>
      <c r="AW591" s="60"/>
      <c r="AX591" s="60"/>
      <c r="AY591" s="60"/>
      <c r="AZ591" s="137"/>
      <c r="BA591" s="139" t="s">
        <v>220</v>
      </c>
      <c r="BD591" s="25"/>
      <c r="BE591" s="25"/>
      <c r="BF591" s="25"/>
      <c r="BG591" s="25"/>
      <c r="BH591" s="25"/>
      <c r="BI591" s="25"/>
    </row>
    <row r="592" spans="17:61" ht="12">
      <c r="Q592" s="25" t="s">
        <v>22</v>
      </c>
      <c r="Z592" s="25" t="s">
        <v>22</v>
      </c>
      <c r="AH592" s="137"/>
      <c r="AI592" s="25" t="s">
        <v>22</v>
      </c>
      <c r="AJ592" s="25"/>
      <c r="AK592" s="25"/>
      <c r="AL592" s="25"/>
      <c r="AM592" s="25"/>
      <c r="AN592" s="25"/>
      <c r="AO592" s="25"/>
      <c r="AP592" s="25"/>
      <c r="AQ592" s="137"/>
      <c r="AR592" s="60" t="s">
        <v>22</v>
      </c>
      <c r="AS592" s="60"/>
      <c r="AT592" s="60"/>
      <c r="AU592" s="60"/>
      <c r="AV592" s="60"/>
      <c r="AW592" s="60"/>
      <c r="AX592" s="60"/>
      <c r="AY592" s="60"/>
      <c r="AZ592" s="137"/>
      <c r="BA592" s="133" t="s">
        <v>22</v>
      </c>
      <c r="BD592" s="25"/>
      <c r="BE592" s="25"/>
      <c r="BF592" s="25"/>
      <c r="BG592" s="25"/>
      <c r="BH592" s="25"/>
      <c r="BI592" s="25"/>
    </row>
    <row r="593" spans="17:61" ht="12">
      <c r="Q593" s="25" t="s">
        <v>114</v>
      </c>
      <c r="Z593" s="25" t="s">
        <v>114</v>
      </c>
      <c r="AH593" s="137"/>
      <c r="AI593" s="25" t="s">
        <v>114</v>
      </c>
      <c r="AJ593" s="25"/>
      <c r="AK593" s="25"/>
      <c r="AL593" s="25"/>
      <c r="AM593" s="25"/>
      <c r="AN593" s="25"/>
      <c r="AO593" s="25"/>
      <c r="AP593" s="25"/>
      <c r="AQ593" s="137"/>
      <c r="AR593" s="60" t="s">
        <v>114</v>
      </c>
      <c r="AS593" s="60"/>
      <c r="AT593" s="60"/>
      <c r="AU593" s="60"/>
      <c r="AV593" s="60"/>
      <c r="AW593" s="60"/>
      <c r="AX593" s="60"/>
      <c r="AY593" s="60"/>
      <c r="AZ593" s="137"/>
      <c r="BA593" s="133" t="s">
        <v>114</v>
      </c>
      <c r="BC593" s="25"/>
      <c r="BD593" s="25"/>
      <c r="BE593" s="25"/>
      <c r="BF593" s="25"/>
      <c r="BG593" s="25"/>
      <c r="BH593" s="25"/>
      <c r="BI593" s="25"/>
    </row>
    <row r="594" spans="17:61" ht="12">
      <c r="Q594" s="25" t="s">
        <v>52</v>
      </c>
      <c r="Z594" s="25" t="s">
        <v>52</v>
      </c>
      <c r="AH594" s="137"/>
      <c r="AI594" s="25" t="s">
        <v>52</v>
      </c>
      <c r="AJ594" s="25"/>
      <c r="AK594" s="25"/>
      <c r="AL594" s="25"/>
      <c r="AM594" s="25"/>
      <c r="AN594" s="25"/>
      <c r="AO594" s="25"/>
      <c r="AP594" s="25"/>
      <c r="AQ594" s="137"/>
      <c r="AR594" s="60" t="s">
        <v>52</v>
      </c>
      <c r="AS594" s="60"/>
      <c r="AT594" s="60"/>
      <c r="AU594" s="60"/>
      <c r="AV594" s="60"/>
      <c r="AW594" s="60"/>
      <c r="AX594" s="60"/>
      <c r="AY594" s="60"/>
      <c r="AZ594" s="137"/>
      <c r="BA594" s="133" t="s">
        <v>52</v>
      </c>
      <c r="BC594" s="25"/>
      <c r="BD594" s="25"/>
      <c r="BE594" s="25"/>
      <c r="BF594" s="25"/>
      <c r="BG594" s="25"/>
      <c r="BH594" s="25"/>
      <c r="BI594" s="25"/>
    </row>
    <row r="595" spans="34:61" ht="12">
      <c r="AH595" s="137"/>
      <c r="AI595" s="25"/>
      <c r="AJ595" s="25"/>
      <c r="AK595" s="25"/>
      <c r="AL595" s="25"/>
      <c r="AM595" s="25"/>
      <c r="AN595" s="25"/>
      <c r="AO595" s="25"/>
      <c r="AP595" s="25"/>
      <c r="AQ595" s="137"/>
      <c r="AR595" s="60"/>
      <c r="AS595" s="60"/>
      <c r="AT595" s="60"/>
      <c r="AU595" s="60"/>
      <c r="AV595" s="60"/>
      <c r="AW595" s="60"/>
      <c r="AX595" s="60"/>
      <c r="AY595" s="60"/>
      <c r="AZ595" s="137"/>
      <c r="BC595" s="25"/>
      <c r="BD595" s="25"/>
      <c r="BE595" s="25"/>
      <c r="BF595" s="25"/>
      <c r="BG595" s="25"/>
      <c r="BH595" s="25"/>
      <c r="BI595" s="25"/>
    </row>
    <row r="596" spans="20:61" ht="12">
      <c r="T596" s="28" t="s">
        <v>25</v>
      </c>
      <c r="U596" s="28" t="s">
        <v>25</v>
      </c>
      <c r="V596" s="28" t="s">
        <v>25</v>
      </c>
      <c r="W596" s="28" t="s">
        <v>25</v>
      </c>
      <c r="X596" s="28" t="s">
        <v>25</v>
      </c>
      <c r="Y596" s="138"/>
      <c r="AC596" s="28" t="s">
        <v>25</v>
      </c>
      <c r="AD596" s="28" t="s">
        <v>25</v>
      </c>
      <c r="AE596" s="28" t="s">
        <v>25</v>
      </c>
      <c r="AF596" s="28" t="s">
        <v>25</v>
      </c>
      <c r="AG596" s="28" t="s">
        <v>25</v>
      </c>
      <c r="AH596" s="138"/>
      <c r="AI596" s="25"/>
      <c r="AJ596" s="25"/>
      <c r="AK596" s="25"/>
      <c r="AL596" s="28" t="s">
        <v>25</v>
      </c>
      <c r="AM596" s="28" t="s">
        <v>25</v>
      </c>
      <c r="AN596" s="28" t="s">
        <v>25</v>
      </c>
      <c r="AO596" s="28" t="s">
        <v>25</v>
      </c>
      <c r="AP596" s="28" t="s">
        <v>25</v>
      </c>
      <c r="AQ596" s="138"/>
      <c r="AR596" s="60"/>
      <c r="AS596" s="60"/>
      <c r="AT596" s="60"/>
      <c r="AU596" s="62" t="s">
        <v>25</v>
      </c>
      <c r="AV596" s="62" t="s">
        <v>25</v>
      </c>
      <c r="AW596" s="62" t="s">
        <v>25</v>
      </c>
      <c r="AX596" s="62" t="s">
        <v>25</v>
      </c>
      <c r="AY596" s="62" t="s">
        <v>25</v>
      </c>
      <c r="AZ596" s="138"/>
      <c r="BC596" s="25"/>
      <c r="BD596" s="143" t="s">
        <v>25</v>
      </c>
      <c r="BE596" s="143" t="s">
        <v>25</v>
      </c>
      <c r="BF596" s="143" t="s">
        <v>25</v>
      </c>
      <c r="BG596" s="143" t="s">
        <v>25</v>
      </c>
      <c r="BH596" s="143" t="s">
        <v>25</v>
      </c>
      <c r="BI596" s="138"/>
    </row>
    <row r="597" spans="20:61" ht="12">
      <c r="T597" s="28">
        <v>2006</v>
      </c>
      <c r="U597" s="28">
        <v>2005</v>
      </c>
      <c r="V597" s="28">
        <v>2004</v>
      </c>
      <c r="W597" s="28">
        <v>2003</v>
      </c>
      <c r="X597" s="28">
        <v>2002</v>
      </c>
      <c r="Y597" s="138" t="s">
        <v>117</v>
      </c>
      <c r="AC597" s="28">
        <v>2006</v>
      </c>
      <c r="AD597" s="28">
        <v>2005</v>
      </c>
      <c r="AE597" s="28">
        <v>2004</v>
      </c>
      <c r="AF597" s="28">
        <v>2003</v>
      </c>
      <c r="AG597" s="28">
        <v>2002</v>
      </c>
      <c r="AH597" s="138" t="s">
        <v>117</v>
      </c>
      <c r="AI597" s="25"/>
      <c r="AJ597" s="25"/>
      <c r="AK597" s="25"/>
      <c r="AL597" s="28">
        <v>2006</v>
      </c>
      <c r="AM597" s="28">
        <v>2005</v>
      </c>
      <c r="AN597" s="28">
        <v>2004</v>
      </c>
      <c r="AO597" s="28">
        <v>2003</v>
      </c>
      <c r="AP597" s="28">
        <v>2002</v>
      </c>
      <c r="AQ597" s="138" t="s">
        <v>117</v>
      </c>
      <c r="AR597" s="60"/>
      <c r="AS597" s="60"/>
      <c r="AT597" s="60"/>
      <c r="AU597" s="62">
        <v>2006</v>
      </c>
      <c r="AV597" s="62">
        <v>2005</v>
      </c>
      <c r="AW597" s="62">
        <v>2004</v>
      </c>
      <c r="AX597" s="62">
        <v>2003</v>
      </c>
      <c r="AY597" s="62">
        <v>2002</v>
      </c>
      <c r="AZ597" s="138" t="s">
        <v>117</v>
      </c>
      <c r="BC597" s="25"/>
      <c r="BD597" s="143">
        <v>2006</v>
      </c>
      <c r="BE597" s="143">
        <v>2005</v>
      </c>
      <c r="BF597" s="143">
        <v>2004</v>
      </c>
      <c r="BG597" s="143">
        <v>2003</v>
      </c>
      <c r="BH597" s="143">
        <v>2002</v>
      </c>
      <c r="BI597" s="138" t="s">
        <v>117</v>
      </c>
    </row>
    <row r="598" spans="20:61" ht="12">
      <c r="T598" s="28" t="s">
        <v>71</v>
      </c>
      <c r="U598" s="28" t="s">
        <v>71</v>
      </c>
      <c r="V598" s="28" t="s">
        <v>71</v>
      </c>
      <c r="W598" s="28" t="s">
        <v>71</v>
      </c>
      <c r="X598" s="28" t="s">
        <v>71</v>
      </c>
      <c r="Y598" s="138" t="s">
        <v>71</v>
      </c>
      <c r="AC598" s="28" t="s">
        <v>71</v>
      </c>
      <c r="AD598" s="28" t="s">
        <v>71</v>
      </c>
      <c r="AE598" s="28" t="s">
        <v>71</v>
      </c>
      <c r="AF598" s="28" t="s">
        <v>71</v>
      </c>
      <c r="AG598" s="28" t="s">
        <v>71</v>
      </c>
      <c r="AH598" s="138" t="s">
        <v>71</v>
      </c>
      <c r="AI598" s="25"/>
      <c r="AJ598" s="25"/>
      <c r="AK598" s="25"/>
      <c r="AL598" s="28" t="s">
        <v>71</v>
      </c>
      <c r="AM598" s="28" t="s">
        <v>71</v>
      </c>
      <c r="AN598" s="28" t="s">
        <v>71</v>
      </c>
      <c r="AO598" s="28" t="s">
        <v>71</v>
      </c>
      <c r="AP598" s="28" t="s">
        <v>71</v>
      </c>
      <c r="AQ598" s="138" t="s">
        <v>71</v>
      </c>
      <c r="AR598" s="60"/>
      <c r="AS598" s="60"/>
      <c r="AT598" s="60"/>
      <c r="AU598" s="62" t="s">
        <v>71</v>
      </c>
      <c r="AV598" s="62" t="s">
        <v>71</v>
      </c>
      <c r="AW598" s="62" t="s">
        <v>71</v>
      </c>
      <c r="AX598" s="62" t="s">
        <v>71</v>
      </c>
      <c r="AY598" s="62" t="s">
        <v>71</v>
      </c>
      <c r="AZ598" s="138" t="s">
        <v>71</v>
      </c>
      <c r="BC598" s="25"/>
      <c r="BD598" s="143" t="s">
        <v>71</v>
      </c>
      <c r="BE598" s="143" t="s">
        <v>71</v>
      </c>
      <c r="BF598" s="143" t="s">
        <v>71</v>
      </c>
      <c r="BG598" s="143" t="s">
        <v>71</v>
      </c>
      <c r="BH598" s="143" t="s">
        <v>71</v>
      </c>
      <c r="BI598" s="138" t="s">
        <v>71</v>
      </c>
    </row>
    <row r="599" spans="19:61" ht="12">
      <c r="S599" s="22" t="s">
        <v>219</v>
      </c>
      <c r="T599" s="28" t="s">
        <v>38</v>
      </c>
      <c r="U599" s="28" t="s">
        <v>38</v>
      </c>
      <c r="V599" s="28" t="s">
        <v>38</v>
      </c>
      <c r="W599" s="28" t="s">
        <v>38</v>
      </c>
      <c r="X599" s="28" t="s">
        <v>38</v>
      </c>
      <c r="Y599" s="143" t="s">
        <v>38</v>
      </c>
      <c r="AB599" s="22" t="s">
        <v>219</v>
      </c>
      <c r="AC599" s="28" t="s">
        <v>68</v>
      </c>
      <c r="AD599" s="28" t="s">
        <v>68</v>
      </c>
      <c r="AE599" s="28" t="s">
        <v>68</v>
      </c>
      <c r="AF599" s="28" t="s">
        <v>68</v>
      </c>
      <c r="AG599" s="28" t="s">
        <v>68</v>
      </c>
      <c r="AH599" s="138" t="s">
        <v>68</v>
      </c>
      <c r="AI599" s="25"/>
      <c r="AJ599" s="25"/>
      <c r="AK599" s="22" t="s">
        <v>219</v>
      </c>
      <c r="AL599" s="28" t="s">
        <v>38</v>
      </c>
      <c r="AM599" s="28" t="s">
        <v>38</v>
      </c>
      <c r="AN599" s="28" t="s">
        <v>38</v>
      </c>
      <c r="AO599" s="28" t="s">
        <v>38</v>
      </c>
      <c r="AP599" s="28" t="s">
        <v>38</v>
      </c>
      <c r="AQ599" s="143" t="s">
        <v>38</v>
      </c>
      <c r="AR599" s="60"/>
      <c r="AS599" s="60"/>
      <c r="AT599" s="64" t="s">
        <v>219</v>
      </c>
      <c r="AU599" s="62" t="s">
        <v>68</v>
      </c>
      <c r="AV599" s="62" t="s">
        <v>68</v>
      </c>
      <c r="AW599" s="62" t="s">
        <v>68</v>
      </c>
      <c r="AX599" s="62" t="s">
        <v>68</v>
      </c>
      <c r="AY599" s="62" t="s">
        <v>68</v>
      </c>
      <c r="AZ599" s="138" t="s">
        <v>68</v>
      </c>
      <c r="BC599" s="139" t="s">
        <v>219</v>
      </c>
      <c r="BD599" s="143" t="s">
        <v>38</v>
      </c>
      <c r="BE599" s="143" t="s">
        <v>38</v>
      </c>
      <c r="BF599" s="143" t="s">
        <v>38</v>
      </c>
      <c r="BG599" s="143" t="s">
        <v>38</v>
      </c>
      <c r="BH599" s="143" t="s">
        <v>38</v>
      </c>
      <c r="BI599" s="143" t="s">
        <v>38</v>
      </c>
    </row>
    <row r="600" spans="17:61" ht="12">
      <c r="Q600" s="25" t="s">
        <v>26</v>
      </c>
      <c r="R600" s="22"/>
      <c r="S600" s="132">
        <f>T600-X600</f>
        <v>2122</v>
      </c>
      <c r="T600" s="42">
        <v>3577</v>
      </c>
      <c r="U600" s="42">
        <v>2228</v>
      </c>
      <c r="V600" s="42">
        <v>1903</v>
      </c>
      <c r="W600" s="42">
        <v>1610</v>
      </c>
      <c r="X600" s="42">
        <v>1455</v>
      </c>
      <c r="Y600" s="53">
        <f>AVERAGE(T600:X600)</f>
        <v>2154.6</v>
      </c>
      <c r="Z600" s="25" t="s">
        <v>26</v>
      </c>
      <c r="AA600" s="22"/>
      <c r="AB600" s="132">
        <f>AC600-AG600</f>
        <v>563</v>
      </c>
      <c r="AC600" s="42">
        <v>1087</v>
      </c>
      <c r="AD600" s="42">
        <v>891</v>
      </c>
      <c r="AE600" s="42">
        <v>685</v>
      </c>
      <c r="AF600" s="42">
        <v>477</v>
      </c>
      <c r="AG600" s="42">
        <v>524</v>
      </c>
      <c r="AH600" s="53">
        <f>AVERAGE(AC600:AG600)</f>
        <v>732.8</v>
      </c>
      <c r="AI600" s="25" t="s">
        <v>26</v>
      </c>
      <c r="AJ600" s="22"/>
      <c r="AK600" s="132">
        <f>AL600-AP600</f>
        <v>1126</v>
      </c>
      <c r="AL600" s="42">
        <f aca="true" t="shared" si="281" ref="AL600:AP604">2*AC600</f>
        <v>2174</v>
      </c>
      <c r="AM600" s="42">
        <f t="shared" si="281"/>
        <v>1782</v>
      </c>
      <c r="AN600" s="42">
        <f t="shared" si="281"/>
        <v>1370</v>
      </c>
      <c r="AO600" s="42">
        <f t="shared" si="281"/>
        <v>954</v>
      </c>
      <c r="AP600" s="42">
        <f t="shared" si="281"/>
        <v>1048</v>
      </c>
      <c r="AQ600" s="53">
        <f>AVERAGE(AL600:AP600)</f>
        <v>1465.6</v>
      </c>
      <c r="AR600" s="60" t="s">
        <v>26</v>
      </c>
      <c r="AS600" s="64"/>
      <c r="AT600" s="134">
        <f>AU600-AY600</f>
        <v>3368</v>
      </c>
      <c r="AU600" s="65">
        <v>6964</v>
      </c>
      <c r="AV600" s="65">
        <v>6192</v>
      </c>
      <c r="AW600" s="65">
        <v>4663</v>
      </c>
      <c r="AX600" s="65">
        <v>4311</v>
      </c>
      <c r="AY600" s="65">
        <v>3596</v>
      </c>
      <c r="AZ600" s="53">
        <f>AVERAGE(AU600:AY600)</f>
        <v>5145.2</v>
      </c>
      <c r="BA600" s="133" t="s">
        <v>26</v>
      </c>
      <c r="BB600" s="139"/>
      <c r="BC600" s="146">
        <f>BD600-BH600</f>
        <v>6736</v>
      </c>
      <c r="BD600" s="147">
        <f aca="true" t="shared" si="282" ref="BD600:BH604">2*AU600</f>
        <v>13928</v>
      </c>
      <c r="BE600" s="147">
        <f t="shared" si="282"/>
        <v>12384</v>
      </c>
      <c r="BF600" s="147">
        <f t="shared" si="282"/>
        <v>9326</v>
      </c>
      <c r="BG600" s="147">
        <f t="shared" si="282"/>
        <v>8622</v>
      </c>
      <c r="BH600" s="147">
        <f t="shared" si="282"/>
        <v>7192</v>
      </c>
      <c r="BI600" s="53">
        <f>AVERAGE(BD600:BH600)</f>
        <v>10290.4</v>
      </c>
    </row>
    <row r="601" spans="17:61" ht="12">
      <c r="Q601" s="25" t="s">
        <v>93</v>
      </c>
      <c r="S601" s="132">
        <f>T601-X601</f>
        <v>2822</v>
      </c>
      <c r="T601" s="42">
        <v>5083</v>
      </c>
      <c r="U601" s="42">
        <v>3701</v>
      </c>
      <c r="V601" s="42">
        <v>3265</v>
      </c>
      <c r="W601" s="42">
        <v>2901</v>
      </c>
      <c r="X601" s="42">
        <v>2261</v>
      </c>
      <c r="Y601" s="53">
        <f>AVERAGE(T601:X601)</f>
        <v>3442.2</v>
      </c>
      <c r="Z601" s="25" t="s">
        <v>93</v>
      </c>
      <c r="AB601" s="132">
        <f>AC601-AG601</f>
        <v>1057</v>
      </c>
      <c r="AC601" s="42">
        <f>1036+AC600</f>
        <v>2123</v>
      </c>
      <c r="AD601" s="42">
        <f>739+AD600</f>
        <v>1630</v>
      </c>
      <c r="AE601" s="42">
        <f>640+AE600</f>
        <v>1325</v>
      </c>
      <c r="AF601" s="42">
        <f>651+AF600</f>
        <v>1128</v>
      </c>
      <c r="AG601" s="42">
        <f>542+AG600</f>
        <v>1066</v>
      </c>
      <c r="AH601" s="53">
        <f>AVERAGE(AC601:AG601)</f>
        <v>1454.4</v>
      </c>
      <c r="AI601" s="25" t="s">
        <v>93</v>
      </c>
      <c r="AJ601" s="25"/>
      <c r="AK601" s="132">
        <f>AL601-AP601</f>
        <v>2114</v>
      </c>
      <c r="AL601" s="42">
        <f t="shared" si="281"/>
        <v>4246</v>
      </c>
      <c r="AM601" s="42">
        <f t="shared" si="281"/>
        <v>3260</v>
      </c>
      <c r="AN601" s="42">
        <f t="shared" si="281"/>
        <v>2650</v>
      </c>
      <c r="AO601" s="42">
        <f t="shared" si="281"/>
        <v>2256</v>
      </c>
      <c r="AP601" s="42">
        <f t="shared" si="281"/>
        <v>2132</v>
      </c>
      <c r="AQ601" s="53">
        <f>AVERAGE(AL601:AP601)</f>
        <v>2908.8</v>
      </c>
      <c r="AR601" s="60" t="s">
        <v>93</v>
      </c>
      <c r="AS601" s="60"/>
      <c r="AT601" s="134">
        <f>AU601-AY601</f>
        <v>4737</v>
      </c>
      <c r="AU601" s="65">
        <f>7732+AU600</f>
        <v>14696</v>
      </c>
      <c r="AV601" s="65">
        <f>8197+AV600</f>
        <v>14389</v>
      </c>
      <c r="AW601" s="65">
        <f>6026+AW600</f>
        <v>10689</v>
      </c>
      <c r="AX601" s="65">
        <f>6694+AX600</f>
        <v>11005</v>
      </c>
      <c r="AY601" s="65">
        <f>6363+AY600</f>
        <v>9959</v>
      </c>
      <c r="AZ601" s="53">
        <f>AVERAGE(AU601:AY601)</f>
        <v>12147.6</v>
      </c>
      <c r="BA601" s="133" t="s">
        <v>93</v>
      </c>
      <c r="BC601" s="146">
        <f>BD601-BH601</f>
        <v>9474</v>
      </c>
      <c r="BD601" s="147">
        <f t="shared" si="282"/>
        <v>29392</v>
      </c>
      <c r="BE601" s="147">
        <f t="shared" si="282"/>
        <v>28778</v>
      </c>
      <c r="BF601" s="147">
        <f t="shared" si="282"/>
        <v>21378</v>
      </c>
      <c r="BG601" s="147">
        <f t="shared" si="282"/>
        <v>22010</v>
      </c>
      <c r="BH601" s="147">
        <f t="shared" si="282"/>
        <v>19918</v>
      </c>
      <c r="BI601" s="53">
        <f>AVERAGE(BD601:BH601)</f>
        <v>24295.2</v>
      </c>
    </row>
    <row r="602" spans="17:61" ht="12">
      <c r="Q602" s="25" t="s">
        <v>72</v>
      </c>
      <c r="S602" s="132">
        <f>T602-X602</f>
        <v>882</v>
      </c>
      <c r="T602" s="42">
        <v>1812</v>
      </c>
      <c r="U602" s="42">
        <v>1557</v>
      </c>
      <c r="V602" s="42">
        <v>1301</v>
      </c>
      <c r="W602" s="42">
        <v>1189</v>
      </c>
      <c r="X602" s="42">
        <v>930</v>
      </c>
      <c r="Y602" s="53">
        <f>AVERAGE(T602:X602)</f>
        <v>1357.8</v>
      </c>
      <c r="Z602" s="25" t="s">
        <v>72</v>
      </c>
      <c r="AB602" s="132">
        <f>AC602-AG602</f>
        <v>248</v>
      </c>
      <c r="AC602" s="42">
        <v>509</v>
      </c>
      <c r="AD602" s="42">
        <v>415</v>
      </c>
      <c r="AE602" s="42">
        <v>315</v>
      </c>
      <c r="AF602" s="42">
        <v>261</v>
      </c>
      <c r="AG602" s="42">
        <v>261</v>
      </c>
      <c r="AH602" s="53">
        <f>AVERAGE(AC602:AG602)</f>
        <v>352.2</v>
      </c>
      <c r="AI602" s="25" t="s">
        <v>72</v>
      </c>
      <c r="AJ602" s="25"/>
      <c r="AK602" s="132">
        <f>AL602-AP602</f>
        <v>496</v>
      </c>
      <c r="AL602" s="42">
        <f t="shared" si="281"/>
        <v>1018</v>
      </c>
      <c r="AM602" s="42">
        <f t="shared" si="281"/>
        <v>830</v>
      </c>
      <c r="AN602" s="42">
        <f t="shared" si="281"/>
        <v>630</v>
      </c>
      <c r="AO602" s="42">
        <f t="shared" si="281"/>
        <v>522</v>
      </c>
      <c r="AP602" s="42">
        <f t="shared" si="281"/>
        <v>522</v>
      </c>
      <c r="AQ602" s="53">
        <f>AVERAGE(AL602:AP602)</f>
        <v>704.4</v>
      </c>
      <c r="AR602" s="60" t="s">
        <v>72</v>
      </c>
      <c r="AS602" s="60"/>
      <c r="AT602" s="134">
        <f>AU602-AY602</f>
        <v>3964</v>
      </c>
      <c r="AU602" s="65">
        <v>8084</v>
      </c>
      <c r="AV602" s="65">
        <v>7430</v>
      </c>
      <c r="AW602" s="65">
        <v>5167</v>
      </c>
      <c r="AX602" s="65">
        <v>4924</v>
      </c>
      <c r="AY602" s="65">
        <v>4120</v>
      </c>
      <c r="AZ602" s="53">
        <f>AVERAGE(AU602:AY602)</f>
        <v>5945</v>
      </c>
      <c r="BA602" s="133" t="s">
        <v>72</v>
      </c>
      <c r="BC602" s="146">
        <f>BD602-BH602</f>
        <v>7928</v>
      </c>
      <c r="BD602" s="147">
        <f t="shared" si="282"/>
        <v>16168</v>
      </c>
      <c r="BE602" s="147">
        <f t="shared" si="282"/>
        <v>14860</v>
      </c>
      <c r="BF602" s="147">
        <f t="shared" si="282"/>
        <v>10334</v>
      </c>
      <c r="BG602" s="147">
        <f t="shared" si="282"/>
        <v>9848</v>
      </c>
      <c r="BH602" s="147">
        <f t="shared" si="282"/>
        <v>8240</v>
      </c>
      <c r="BI602" s="53">
        <f>AVERAGE(BD602:BH602)</f>
        <v>11890</v>
      </c>
    </row>
    <row r="603" spans="17:61" ht="12">
      <c r="Q603" s="25" t="s">
        <v>35</v>
      </c>
      <c r="S603" s="132">
        <f>T603-X603</f>
        <v>1476</v>
      </c>
      <c r="T603" s="42">
        <v>2713</v>
      </c>
      <c r="U603" s="42">
        <v>2527</v>
      </c>
      <c r="V603" s="42">
        <v>2286</v>
      </c>
      <c r="W603" s="42">
        <v>2198</v>
      </c>
      <c r="X603" s="42">
        <v>1237</v>
      </c>
      <c r="Y603" s="53">
        <f>AVERAGE(T603:X603)</f>
        <v>2192.2</v>
      </c>
      <c r="Z603" s="25" t="s">
        <v>35</v>
      </c>
      <c r="AB603" s="132">
        <f>AC603-AG603</f>
        <v>802</v>
      </c>
      <c r="AC603" s="42">
        <f>632+AC602</f>
        <v>1141</v>
      </c>
      <c r="AD603" s="42">
        <f>352+AD602</f>
        <v>767</v>
      </c>
      <c r="AE603" s="42">
        <f>158+63+AE602</f>
        <v>536</v>
      </c>
      <c r="AF603" s="42">
        <f>65+43+AF602</f>
        <v>369</v>
      </c>
      <c r="AG603" s="42">
        <f>49+29+AG602</f>
        <v>339</v>
      </c>
      <c r="AH603" s="53">
        <f>AVERAGE(AC603:AG603)</f>
        <v>630.4</v>
      </c>
      <c r="AI603" s="25" t="s">
        <v>35</v>
      </c>
      <c r="AJ603" s="25"/>
      <c r="AK603" s="132">
        <f>AL603-AP603</f>
        <v>1604</v>
      </c>
      <c r="AL603" s="42">
        <f t="shared" si="281"/>
        <v>2282</v>
      </c>
      <c r="AM603" s="42">
        <f t="shared" si="281"/>
        <v>1534</v>
      </c>
      <c r="AN603" s="42">
        <f t="shared" si="281"/>
        <v>1072</v>
      </c>
      <c r="AO603" s="42">
        <f t="shared" si="281"/>
        <v>738</v>
      </c>
      <c r="AP603" s="42">
        <f t="shared" si="281"/>
        <v>678</v>
      </c>
      <c r="AQ603" s="53">
        <f>AVERAGE(AL603:AP603)</f>
        <v>1260.8</v>
      </c>
      <c r="AR603" s="60" t="s">
        <v>35</v>
      </c>
      <c r="AS603" s="60"/>
      <c r="AT603" s="134">
        <f>AU603-AY603</f>
        <v>4533</v>
      </c>
      <c r="AU603" s="65">
        <f>2694+AU602</f>
        <v>10778</v>
      </c>
      <c r="AV603" s="65">
        <f>2973+AV602</f>
        <v>10403</v>
      </c>
      <c r="AW603" s="65">
        <f>2457+AW602</f>
        <v>7624</v>
      </c>
      <c r="AX603" s="65">
        <f>1691+134+189+AX602</f>
        <v>6938</v>
      </c>
      <c r="AY603" s="65">
        <f>1838+102+185+AY602</f>
        <v>6245</v>
      </c>
      <c r="AZ603" s="53">
        <f>AVERAGE(AU603:AY603)</f>
        <v>8397.6</v>
      </c>
      <c r="BA603" s="133" t="s">
        <v>35</v>
      </c>
      <c r="BC603" s="146">
        <f>BD603-BH603</f>
        <v>9066</v>
      </c>
      <c r="BD603" s="147">
        <f t="shared" si="282"/>
        <v>21556</v>
      </c>
      <c r="BE603" s="147">
        <f t="shared" si="282"/>
        <v>20806</v>
      </c>
      <c r="BF603" s="147">
        <f t="shared" si="282"/>
        <v>15248</v>
      </c>
      <c r="BG603" s="147">
        <f t="shared" si="282"/>
        <v>13876</v>
      </c>
      <c r="BH603" s="147">
        <f t="shared" si="282"/>
        <v>12490</v>
      </c>
      <c r="BI603" s="53">
        <f>AVERAGE(BD603:BH603)</f>
        <v>16795.2</v>
      </c>
    </row>
    <row r="604" spans="17:61" ht="12">
      <c r="Q604" s="25" t="s">
        <v>100</v>
      </c>
      <c r="S604" s="132">
        <f>T604-X604</f>
        <v>1341</v>
      </c>
      <c r="T604" s="42">
        <v>2364</v>
      </c>
      <c r="U604" s="42">
        <v>1169</v>
      </c>
      <c r="V604" s="42">
        <v>975</v>
      </c>
      <c r="W604" s="42">
        <v>699</v>
      </c>
      <c r="X604" s="42">
        <v>1023</v>
      </c>
      <c r="Y604" s="53">
        <f>AVERAGE(T604:X604)</f>
        <v>1246</v>
      </c>
      <c r="Z604" s="25" t="s">
        <v>100</v>
      </c>
      <c r="AB604" s="132">
        <f>AC604-AG604</f>
        <v>255</v>
      </c>
      <c r="AC604" s="42">
        <v>983</v>
      </c>
      <c r="AD604" s="42">
        <v>863</v>
      </c>
      <c r="AE604" s="42">
        <v>789</v>
      </c>
      <c r="AF604" s="42">
        <v>758</v>
      </c>
      <c r="AG604" s="42">
        <v>728</v>
      </c>
      <c r="AH604" s="53">
        <f>AVERAGE(AC604:AG604)</f>
        <v>824.2</v>
      </c>
      <c r="AI604" s="25" t="s">
        <v>100</v>
      </c>
      <c r="AJ604" s="25"/>
      <c r="AK604" s="132">
        <f>AL604-AP604</f>
        <v>510</v>
      </c>
      <c r="AL604" s="42">
        <f t="shared" si="281"/>
        <v>1966</v>
      </c>
      <c r="AM604" s="42">
        <f t="shared" si="281"/>
        <v>1726</v>
      </c>
      <c r="AN604" s="42">
        <f t="shared" si="281"/>
        <v>1578</v>
      </c>
      <c r="AO604" s="42">
        <f t="shared" si="281"/>
        <v>1516</v>
      </c>
      <c r="AP604" s="42">
        <f t="shared" si="281"/>
        <v>1456</v>
      </c>
      <c r="AQ604" s="53">
        <f>AVERAGE(AL604:AP604)</f>
        <v>1648.4</v>
      </c>
      <c r="AR604" s="60" t="s">
        <v>100</v>
      </c>
      <c r="AS604" s="60"/>
      <c r="AT604" s="134">
        <f>AU604-AY604</f>
        <v>204</v>
      </c>
      <c r="AU604" s="65">
        <v>3918</v>
      </c>
      <c r="AV604" s="65">
        <v>3986</v>
      </c>
      <c r="AW604" s="65">
        <v>3066</v>
      </c>
      <c r="AX604" s="65">
        <v>4068</v>
      </c>
      <c r="AY604" s="65">
        <v>3714</v>
      </c>
      <c r="AZ604" s="53">
        <f>AVERAGE(AU604:AY604)</f>
        <v>3750.4</v>
      </c>
      <c r="BA604" s="133" t="s">
        <v>100</v>
      </c>
      <c r="BC604" s="146">
        <f>BD604-BH604</f>
        <v>408</v>
      </c>
      <c r="BD604" s="147">
        <f t="shared" si="282"/>
        <v>7836</v>
      </c>
      <c r="BE604" s="147">
        <f t="shared" si="282"/>
        <v>7972</v>
      </c>
      <c r="BF604" s="147">
        <f t="shared" si="282"/>
        <v>6132</v>
      </c>
      <c r="BG604" s="147">
        <f t="shared" si="282"/>
        <v>8136</v>
      </c>
      <c r="BH604" s="147">
        <f t="shared" si="282"/>
        <v>7428</v>
      </c>
      <c r="BI604" s="53">
        <f>AVERAGE(BD604:BH604)</f>
        <v>7500.8</v>
      </c>
    </row>
    <row r="605" spans="17:61" ht="12">
      <c r="Q605" s="22"/>
      <c r="R605" s="22"/>
      <c r="S605" s="22"/>
      <c r="T605" s="42"/>
      <c r="U605" s="42"/>
      <c r="V605" s="42"/>
      <c r="W605" s="42"/>
      <c r="X605" s="42"/>
      <c r="Y605" s="53"/>
      <c r="Z605" s="22"/>
      <c r="AA605" s="22"/>
      <c r="AB605" s="22"/>
      <c r="AC605" s="42"/>
      <c r="AD605" s="42"/>
      <c r="AE605" s="42"/>
      <c r="AF605" s="42"/>
      <c r="AG605" s="42"/>
      <c r="AH605" s="53"/>
      <c r="AI605" s="22"/>
      <c r="AJ605" s="22"/>
      <c r="AK605" s="22"/>
      <c r="AL605" s="42"/>
      <c r="AM605" s="42"/>
      <c r="AN605" s="42"/>
      <c r="AO605" s="42"/>
      <c r="AP605" s="42"/>
      <c r="AQ605" s="53"/>
      <c r="AR605" s="64"/>
      <c r="AS605" s="64"/>
      <c r="AT605" s="64"/>
      <c r="AU605" s="65"/>
      <c r="AV605" s="65"/>
      <c r="AW605" s="65"/>
      <c r="AX605" s="65"/>
      <c r="AY605" s="65"/>
      <c r="AZ605" s="53"/>
      <c r="BA605" s="139"/>
      <c r="BB605" s="139"/>
      <c r="BC605" s="139"/>
      <c r="BD605" s="147"/>
      <c r="BE605" s="147"/>
      <c r="BF605" s="147"/>
      <c r="BG605" s="147"/>
      <c r="BH605" s="147"/>
      <c r="BI605" s="53"/>
    </row>
    <row r="606" spans="17:61" ht="12">
      <c r="Q606" s="25" t="s">
        <v>73</v>
      </c>
      <c r="S606" s="132">
        <f aca="true" t="shared" si="283" ref="S606:S611">T606-X606</f>
        <v>1434</v>
      </c>
      <c r="T606" s="42">
        <v>3326</v>
      </c>
      <c r="U606" s="42">
        <v>2938</v>
      </c>
      <c r="V606" s="42">
        <v>2593</v>
      </c>
      <c r="W606" s="42">
        <v>2231</v>
      </c>
      <c r="X606" s="42">
        <v>1892</v>
      </c>
      <c r="Y606" s="53">
        <f aca="true" t="shared" si="284" ref="Y606:Y611">AVERAGE(T606:X606)</f>
        <v>2596</v>
      </c>
      <c r="Z606" s="25" t="s">
        <v>73</v>
      </c>
      <c r="AB606" s="132">
        <f aca="true" t="shared" si="285" ref="AB606:AB611">AC606-AG606</f>
        <v>1068</v>
      </c>
      <c r="AC606" s="42">
        <v>1620</v>
      </c>
      <c r="AD606" s="42">
        <v>1341</v>
      </c>
      <c r="AE606" s="42">
        <v>1091</v>
      </c>
      <c r="AF606" s="42">
        <v>932</v>
      </c>
      <c r="AG606" s="42">
        <v>552</v>
      </c>
      <c r="AH606" s="53">
        <f aca="true" t="shared" si="286" ref="AH606:AH611">AVERAGE(AC606:AG606)</f>
        <v>1107.2</v>
      </c>
      <c r="AI606" s="25" t="s">
        <v>73</v>
      </c>
      <c r="AJ606" s="25"/>
      <c r="AK606" s="132">
        <f aca="true" t="shared" si="287" ref="AK606:AK611">AL606-AP606</f>
        <v>2136</v>
      </c>
      <c r="AL606" s="42">
        <f aca="true" t="shared" si="288" ref="AL606:AP611">2*AC606</f>
        <v>3240</v>
      </c>
      <c r="AM606" s="42">
        <f t="shared" si="288"/>
        <v>2682</v>
      </c>
      <c r="AN606" s="42">
        <f t="shared" si="288"/>
        <v>2182</v>
      </c>
      <c r="AO606" s="42">
        <f t="shared" si="288"/>
        <v>1864</v>
      </c>
      <c r="AP606" s="42">
        <f t="shared" si="288"/>
        <v>1104</v>
      </c>
      <c r="AQ606" s="53">
        <f aca="true" t="shared" si="289" ref="AQ606:AQ611">AVERAGE(AL606:AP606)</f>
        <v>2214.4</v>
      </c>
      <c r="AR606" s="60" t="s">
        <v>73</v>
      </c>
      <c r="AS606" s="60"/>
      <c r="AT606" s="134">
        <f aca="true" t="shared" si="290" ref="AT606:AT611">AU606-AY606</f>
        <v>2000</v>
      </c>
      <c r="AU606" s="65">
        <v>5908</v>
      </c>
      <c r="AV606" s="65">
        <v>5374</v>
      </c>
      <c r="AW606" s="65">
        <v>4300</v>
      </c>
      <c r="AX606" s="65">
        <v>4106</v>
      </c>
      <c r="AY606" s="65">
        <v>3908</v>
      </c>
      <c r="AZ606" s="53">
        <f aca="true" t="shared" si="291" ref="AZ606:AZ611">AVERAGE(AU606:AY606)</f>
        <v>4719.2</v>
      </c>
      <c r="BA606" s="133" t="s">
        <v>73</v>
      </c>
      <c r="BC606" s="146">
        <f aca="true" t="shared" si="292" ref="BC606:BC611">BD606-BH606</f>
        <v>4000</v>
      </c>
      <c r="BD606" s="147">
        <f aca="true" t="shared" si="293" ref="BD606:BH611">2*AU606</f>
        <v>11816</v>
      </c>
      <c r="BE606" s="147">
        <f t="shared" si="293"/>
        <v>10748</v>
      </c>
      <c r="BF606" s="147">
        <f t="shared" si="293"/>
        <v>8600</v>
      </c>
      <c r="BG606" s="147">
        <f t="shared" si="293"/>
        <v>8212</v>
      </c>
      <c r="BH606" s="147">
        <f t="shared" si="293"/>
        <v>7816</v>
      </c>
      <c r="BI606" s="53">
        <f aca="true" t="shared" si="294" ref="BI606:BI611">AVERAGE(BD606:BH606)</f>
        <v>9438.4</v>
      </c>
    </row>
    <row r="607" spans="17:61" ht="12">
      <c r="Q607" s="25" t="s">
        <v>74</v>
      </c>
      <c r="S607" s="132">
        <f t="shared" si="283"/>
        <v>2132</v>
      </c>
      <c r="T607" s="42">
        <v>3097</v>
      </c>
      <c r="U607" s="42">
        <v>2544</v>
      </c>
      <c r="V607" s="42">
        <v>2247</v>
      </c>
      <c r="W607" s="42">
        <v>1098</v>
      </c>
      <c r="X607" s="42">
        <v>965</v>
      </c>
      <c r="Y607" s="53">
        <f t="shared" si="284"/>
        <v>1990.2</v>
      </c>
      <c r="Z607" s="25" t="s">
        <v>74</v>
      </c>
      <c r="AB607" s="132">
        <f t="shared" si="285"/>
        <v>1089</v>
      </c>
      <c r="AC607" s="42">
        <f>AC606-AC608</f>
        <v>1502</v>
      </c>
      <c r="AD607" s="42">
        <f>AD606-AD608</f>
        <v>1166</v>
      </c>
      <c r="AE607" s="42">
        <f>AE606-AE608</f>
        <v>929</v>
      </c>
      <c r="AF607" s="42">
        <v>775</v>
      </c>
      <c r="AG607" s="42">
        <v>413</v>
      </c>
      <c r="AH607" s="53">
        <f t="shared" si="286"/>
        <v>957</v>
      </c>
      <c r="AI607" s="25" t="s">
        <v>74</v>
      </c>
      <c r="AJ607" s="25"/>
      <c r="AK607" s="132">
        <f t="shared" si="287"/>
        <v>2178</v>
      </c>
      <c r="AL607" s="42">
        <f t="shared" si="288"/>
        <v>3004</v>
      </c>
      <c r="AM607" s="42">
        <f t="shared" si="288"/>
        <v>2332</v>
      </c>
      <c r="AN607" s="42">
        <f t="shared" si="288"/>
        <v>1858</v>
      </c>
      <c r="AO607" s="42">
        <f t="shared" si="288"/>
        <v>1550</v>
      </c>
      <c r="AP607" s="42">
        <f t="shared" si="288"/>
        <v>826</v>
      </c>
      <c r="AQ607" s="53">
        <f t="shared" si="289"/>
        <v>1914</v>
      </c>
      <c r="AR607" s="60" t="s">
        <v>74</v>
      </c>
      <c r="AS607" s="60"/>
      <c r="AT607" s="134">
        <f t="shared" si="290"/>
        <v>79</v>
      </c>
      <c r="AU607" s="65">
        <v>297</v>
      </c>
      <c r="AV607" s="65">
        <v>241</v>
      </c>
      <c r="AW607" s="65">
        <v>225</v>
      </c>
      <c r="AX607" s="65">
        <v>237</v>
      </c>
      <c r="AY607" s="65">
        <v>218</v>
      </c>
      <c r="AZ607" s="53">
        <f t="shared" si="291"/>
        <v>243.6</v>
      </c>
      <c r="BA607" s="133" t="s">
        <v>74</v>
      </c>
      <c r="BC607" s="146">
        <f t="shared" si="292"/>
        <v>158</v>
      </c>
      <c r="BD607" s="147">
        <f t="shared" si="293"/>
        <v>594</v>
      </c>
      <c r="BE607" s="147">
        <f t="shared" si="293"/>
        <v>482</v>
      </c>
      <c r="BF607" s="147">
        <f t="shared" si="293"/>
        <v>450</v>
      </c>
      <c r="BG607" s="147">
        <f t="shared" si="293"/>
        <v>474</v>
      </c>
      <c r="BH607" s="147">
        <f t="shared" si="293"/>
        <v>436</v>
      </c>
      <c r="BI607" s="53">
        <f t="shared" si="294"/>
        <v>487.2</v>
      </c>
    </row>
    <row r="608" spans="17:61" ht="12">
      <c r="Q608" s="25" t="s">
        <v>116</v>
      </c>
      <c r="S608" s="132">
        <f t="shared" si="283"/>
        <v>-698</v>
      </c>
      <c r="T608" s="42">
        <f>T606-T607</f>
        <v>229</v>
      </c>
      <c r="U608" s="42">
        <f>U606-U607</f>
        <v>394</v>
      </c>
      <c r="V608" s="42">
        <f>V606-V607</f>
        <v>346</v>
      </c>
      <c r="W608" s="42">
        <f>W606-W607</f>
        <v>1133</v>
      </c>
      <c r="X608" s="42">
        <f>X606-X607</f>
        <v>927</v>
      </c>
      <c r="Y608" s="53">
        <f t="shared" si="284"/>
        <v>605.8</v>
      </c>
      <c r="Z608" s="25" t="s">
        <v>116</v>
      </c>
      <c r="AB608" s="132">
        <f t="shared" si="285"/>
        <v>-21</v>
      </c>
      <c r="AC608" s="42">
        <v>118</v>
      </c>
      <c r="AD608" s="42">
        <v>175</v>
      </c>
      <c r="AE608" s="42">
        <v>162</v>
      </c>
      <c r="AF608" s="42">
        <f>AF606-AF607</f>
        <v>157</v>
      </c>
      <c r="AG608" s="42">
        <f>AG606-AG607</f>
        <v>139</v>
      </c>
      <c r="AH608" s="53">
        <f t="shared" si="286"/>
        <v>150.2</v>
      </c>
      <c r="AI608" s="25" t="s">
        <v>116</v>
      </c>
      <c r="AJ608" s="25"/>
      <c r="AK608" s="132">
        <f t="shared" si="287"/>
        <v>-42</v>
      </c>
      <c r="AL608" s="42">
        <f t="shared" si="288"/>
        <v>236</v>
      </c>
      <c r="AM608" s="42">
        <f t="shared" si="288"/>
        <v>350</v>
      </c>
      <c r="AN608" s="42">
        <f t="shared" si="288"/>
        <v>324</v>
      </c>
      <c r="AO608" s="42">
        <f t="shared" si="288"/>
        <v>314</v>
      </c>
      <c r="AP608" s="42">
        <f t="shared" si="288"/>
        <v>278</v>
      </c>
      <c r="AQ608" s="53">
        <f t="shared" si="289"/>
        <v>300.4</v>
      </c>
      <c r="AR608" s="60" t="s">
        <v>116</v>
      </c>
      <c r="AS608" s="60"/>
      <c r="AT608" s="134">
        <f t="shared" si="290"/>
        <v>1921</v>
      </c>
      <c r="AU608" s="65">
        <f>AU606-AU607</f>
        <v>5611</v>
      </c>
      <c r="AV608" s="65">
        <f>AV606-AV607</f>
        <v>5133</v>
      </c>
      <c r="AW608" s="65">
        <f>AW606-AW607</f>
        <v>4075</v>
      </c>
      <c r="AX608" s="65">
        <f>AX606-AX607</f>
        <v>3869</v>
      </c>
      <c r="AY608" s="65">
        <f>AY606-AY607</f>
        <v>3690</v>
      </c>
      <c r="AZ608" s="53">
        <f t="shared" si="291"/>
        <v>4475.6</v>
      </c>
      <c r="BA608" s="133" t="s">
        <v>116</v>
      </c>
      <c r="BC608" s="146">
        <f t="shared" si="292"/>
        <v>3842</v>
      </c>
      <c r="BD608" s="147">
        <f t="shared" si="293"/>
        <v>11222</v>
      </c>
      <c r="BE608" s="147">
        <f t="shared" si="293"/>
        <v>10266</v>
      </c>
      <c r="BF608" s="147">
        <f t="shared" si="293"/>
        <v>8150</v>
      </c>
      <c r="BG608" s="147">
        <f t="shared" si="293"/>
        <v>7738</v>
      </c>
      <c r="BH608" s="147">
        <f t="shared" si="293"/>
        <v>7380</v>
      </c>
      <c r="BI608" s="53">
        <f t="shared" si="294"/>
        <v>8951.2</v>
      </c>
    </row>
    <row r="609" spans="17:61" ht="12">
      <c r="Q609" s="25" t="s">
        <v>82</v>
      </c>
      <c r="S609" s="132">
        <f t="shared" si="283"/>
        <v>51</v>
      </c>
      <c r="T609" s="42">
        <v>61</v>
      </c>
      <c r="U609" s="42">
        <v>70</v>
      </c>
      <c r="V609" s="42">
        <v>70</v>
      </c>
      <c r="W609" s="42">
        <v>63</v>
      </c>
      <c r="X609" s="42">
        <v>10</v>
      </c>
      <c r="Y609" s="53">
        <f t="shared" si="284"/>
        <v>54.8</v>
      </c>
      <c r="Z609" s="25" t="s">
        <v>82</v>
      </c>
      <c r="AB609" s="132">
        <f t="shared" si="285"/>
        <v>19</v>
      </c>
      <c r="AC609" s="42">
        <v>24</v>
      </c>
      <c r="AD609" s="42">
        <v>6</v>
      </c>
      <c r="AE609" s="42">
        <v>3</v>
      </c>
      <c r="AF609" s="42">
        <v>2</v>
      </c>
      <c r="AG609" s="42">
        <v>5</v>
      </c>
      <c r="AH609" s="53">
        <f t="shared" si="286"/>
        <v>8</v>
      </c>
      <c r="AI609" s="25" t="s">
        <v>82</v>
      </c>
      <c r="AJ609" s="25"/>
      <c r="AK609" s="132">
        <f t="shared" si="287"/>
        <v>38</v>
      </c>
      <c r="AL609" s="42">
        <f t="shared" si="288"/>
        <v>48</v>
      </c>
      <c r="AM609" s="42">
        <f t="shared" si="288"/>
        <v>12</v>
      </c>
      <c r="AN609" s="42">
        <f t="shared" si="288"/>
        <v>6</v>
      </c>
      <c r="AO609" s="42">
        <f t="shared" si="288"/>
        <v>4</v>
      </c>
      <c r="AP609" s="42">
        <f t="shared" si="288"/>
        <v>10</v>
      </c>
      <c r="AQ609" s="53">
        <f t="shared" si="289"/>
        <v>16</v>
      </c>
      <c r="AR609" s="60" t="s">
        <v>82</v>
      </c>
      <c r="AS609" s="60"/>
      <c r="AT609" s="134">
        <f t="shared" si="290"/>
        <v>39</v>
      </c>
      <c r="AU609" s="65">
        <v>212</v>
      </c>
      <c r="AV609" s="65">
        <v>182</v>
      </c>
      <c r="AW609" s="65">
        <v>148</v>
      </c>
      <c r="AX609" s="65">
        <f>60+12+71</f>
        <v>143</v>
      </c>
      <c r="AY609" s="65">
        <f>80+7+86</f>
        <v>173</v>
      </c>
      <c r="AZ609" s="53">
        <f t="shared" si="291"/>
        <v>171.6</v>
      </c>
      <c r="BA609" s="133" t="s">
        <v>82</v>
      </c>
      <c r="BC609" s="146">
        <f t="shared" si="292"/>
        <v>78</v>
      </c>
      <c r="BD609" s="147">
        <f t="shared" si="293"/>
        <v>424</v>
      </c>
      <c r="BE609" s="147">
        <f t="shared" si="293"/>
        <v>364</v>
      </c>
      <c r="BF609" s="147">
        <f t="shared" si="293"/>
        <v>296</v>
      </c>
      <c r="BG609" s="147">
        <f t="shared" si="293"/>
        <v>286</v>
      </c>
      <c r="BH609" s="147">
        <f t="shared" si="293"/>
        <v>346</v>
      </c>
      <c r="BI609" s="53">
        <f t="shared" si="294"/>
        <v>343.2</v>
      </c>
    </row>
    <row r="610" spans="17:61" ht="12">
      <c r="Q610" s="25" t="s">
        <v>83</v>
      </c>
      <c r="S610" s="132">
        <f t="shared" si="283"/>
        <v>202</v>
      </c>
      <c r="T610" s="42">
        <v>244</v>
      </c>
      <c r="U610" s="42">
        <v>141</v>
      </c>
      <c r="V610" s="42">
        <v>86</v>
      </c>
      <c r="W610" s="42">
        <v>-221</v>
      </c>
      <c r="X610" s="42">
        <v>42</v>
      </c>
      <c r="Y610" s="53">
        <f t="shared" si="284"/>
        <v>58.4</v>
      </c>
      <c r="Z610" s="25" t="s">
        <v>83</v>
      </c>
      <c r="AB610" s="132">
        <f t="shared" si="285"/>
        <v>-18</v>
      </c>
      <c r="AC610" s="42">
        <v>5</v>
      </c>
      <c r="AD610" s="42">
        <v>3</v>
      </c>
      <c r="AE610" s="42">
        <v>21</v>
      </c>
      <c r="AF610" s="42">
        <v>19</v>
      </c>
      <c r="AG610" s="42">
        <v>23</v>
      </c>
      <c r="AH610" s="53">
        <f t="shared" si="286"/>
        <v>14.2</v>
      </c>
      <c r="AI610" s="25" t="s">
        <v>83</v>
      </c>
      <c r="AJ610" s="25"/>
      <c r="AK610" s="132">
        <f t="shared" si="287"/>
        <v>-36</v>
      </c>
      <c r="AL610" s="42">
        <f t="shared" si="288"/>
        <v>10</v>
      </c>
      <c r="AM610" s="42">
        <f t="shared" si="288"/>
        <v>6</v>
      </c>
      <c r="AN610" s="42">
        <f t="shared" si="288"/>
        <v>42</v>
      </c>
      <c r="AO610" s="42">
        <f t="shared" si="288"/>
        <v>38</v>
      </c>
      <c r="AP610" s="42">
        <f t="shared" si="288"/>
        <v>46</v>
      </c>
      <c r="AQ610" s="53">
        <f t="shared" si="289"/>
        <v>28.4</v>
      </c>
      <c r="AR610" s="60" t="s">
        <v>83</v>
      </c>
      <c r="AS610" s="60"/>
      <c r="AT610" s="134">
        <f t="shared" si="290"/>
        <v>96</v>
      </c>
      <c r="AU610" s="65">
        <v>199</v>
      </c>
      <c r="AV610" s="65">
        <v>194</v>
      </c>
      <c r="AW610" s="65">
        <v>135</v>
      </c>
      <c r="AX610" s="65">
        <v>122</v>
      </c>
      <c r="AY610" s="65">
        <v>103</v>
      </c>
      <c r="AZ610" s="53">
        <f t="shared" si="291"/>
        <v>150.6</v>
      </c>
      <c r="BA610" s="133" t="s">
        <v>83</v>
      </c>
      <c r="BC610" s="146">
        <f t="shared" si="292"/>
        <v>192</v>
      </c>
      <c r="BD610" s="147">
        <f t="shared" si="293"/>
        <v>398</v>
      </c>
      <c r="BE610" s="147">
        <f t="shared" si="293"/>
        <v>388</v>
      </c>
      <c r="BF610" s="147">
        <f t="shared" si="293"/>
        <v>270</v>
      </c>
      <c r="BG610" s="147">
        <f t="shared" si="293"/>
        <v>244</v>
      </c>
      <c r="BH610" s="147">
        <f t="shared" si="293"/>
        <v>206</v>
      </c>
      <c r="BI610" s="53">
        <f t="shared" si="294"/>
        <v>301.2</v>
      </c>
    </row>
    <row r="611" spans="17:61" ht="12">
      <c r="Q611" s="25" t="s">
        <v>98</v>
      </c>
      <c r="S611" s="132">
        <f t="shared" si="283"/>
        <v>-66</v>
      </c>
      <c r="T611" s="42">
        <v>50</v>
      </c>
      <c r="U611" s="42">
        <v>267</v>
      </c>
      <c r="V611" s="42">
        <v>238</v>
      </c>
      <c r="W611" s="42">
        <v>-386</v>
      </c>
      <c r="X611" s="42">
        <v>116</v>
      </c>
      <c r="Y611" s="53">
        <f t="shared" si="284"/>
        <v>57</v>
      </c>
      <c r="Z611" s="25" t="s">
        <v>98</v>
      </c>
      <c r="AB611" s="132">
        <f t="shared" si="285"/>
        <v>45</v>
      </c>
      <c r="AC611" s="42">
        <v>94</v>
      </c>
      <c r="AD611" s="42">
        <v>59</v>
      </c>
      <c r="AE611" s="42">
        <v>41</v>
      </c>
      <c r="AF611" s="42">
        <v>32</v>
      </c>
      <c r="AG611" s="42">
        <v>49</v>
      </c>
      <c r="AH611" s="53">
        <f t="shared" si="286"/>
        <v>55</v>
      </c>
      <c r="AI611" s="25" t="s">
        <v>98</v>
      </c>
      <c r="AJ611" s="25"/>
      <c r="AK611" s="132">
        <f t="shared" si="287"/>
        <v>90</v>
      </c>
      <c r="AL611" s="42">
        <f t="shared" si="288"/>
        <v>188</v>
      </c>
      <c r="AM611" s="42">
        <f t="shared" si="288"/>
        <v>118</v>
      </c>
      <c r="AN611" s="42">
        <f t="shared" si="288"/>
        <v>82</v>
      </c>
      <c r="AO611" s="42">
        <f t="shared" si="288"/>
        <v>64</v>
      </c>
      <c r="AP611" s="42">
        <f t="shared" si="288"/>
        <v>98</v>
      </c>
      <c r="AQ611" s="53">
        <f t="shared" si="289"/>
        <v>110</v>
      </c>
      <c r="AR611" s="60" t="s">
        <v>98</v>
      </c>
      <c r="AS611" s="60"/>
      <c r="AT611" s="134">
        <f t="shared" si="290"/>
        <v>381</v>
      </c>
      <c r="AU611" s="65">
        <v>483</v>
      </c>
      <c r="AV611" s="65">
        <v>398</v>
      </c>
      <c r="AW611" s="65">
        <v>299</v>
      </c>
      <c r="AX611" s="65">
        <v>228</v>
      </c>
      <c r="AY611" s="65">
        <v>102</v>
      </c>
      <c r="AZ611" s="53">
        <f t="shared" si="291"/>
        <v>302</v>
      </c>
      <c r="BA611" s="133" t="s">
        <v>98</v>
      </c>
      <c r="BC611" s="146">
        <f t="shared" si="292"/>
        <v>762</v>
      </c>
      <c r="BD611" s="147">
        <f t="shared" si="293"/>
        <v>966</v>
      </c>
      <c r="BE611" s="147">
        <f t="shared" si="293"/>
        <v>796</v>
      </c>
      <c r="BF611" s="147">
        <f t="shared" si="293"/>
        <v>598</v>
      </c>
      <c r="BG611" s="147">
        <f t="shared" si="293"/>
        <v>456</v>
      </c>
      <c r="BH611" s="147">
        <f t="shared" si="293"/>
        <v>204</v>
      </c>
      <c r="BI611" s="53">
        <f t="shared" si="294"/>
        <v>604</v>
      </c>
    </row>
    <row r="612" spans="17:61" ht="12">
      <c r="Q612" s="22"/>
      <c r="R612" s="22"/>
      <c r="S612" s="22"/>
      <c r="T612" s="42"/>
      <c r="U612" s="42" t="s">
        <v>17</v>
      </c>
      <c r="V612" s="42"/>
      <c r="W612" s="42"/>
      <c r="X612" s="42"/>
      <c r="Y612" s="53"/>
      <c r="Z612" s="22"/>
      <c r="AA612" s="22"/>
      <c r="AB612" s="22"/>
      <c r="AC612" s="42"/>
      <c r="AD612" s="42"/>
      <c r="AE612" s="42"/>
      <c r="AF612" s="42"/>
      <c r="AG612" s="42"/>
      <c r="AH612" s="53"/>
      <c r="AI612" s="22"/>
      <c r="AJ612" s="22"/>
      <c r="AK612" s="22"/>
      <c r="AL612" s="42"/>
      <c r="AM612" s="42"/>
      <c r="AN612" s="42"/>
      <c r="AO612" s="42"/>
      <c r="AP612" s="42"/>
      <c r="AQ612" s="53"/>
      <c r="AR612" s="64"/>
      <c r="AS612" s="64"/>
      <c r="AT612" s="64"/>
      <c r="AU612" s="65"/>
      <c r="AV612" s="65"/>
      <c r="AW612" s="65"/>
      <c r="AX612" s="65"/>
      <c r="AY612" s="65"/>
      <c r="AZ612" s="53"/>
      <c r="BA612" s="139"/>
      <c r="BB612" s="139"/>
      <c r="BC612" s="139"/>
      <c r="BD612" s="147"/>
      <c r="BE612" s="147"/>
      <c r="BF612" s="147"/>
      <c r="BG612" s="147"/>
      <c r="BH612" s="147"/>
      <c r="BI612" s="53"/>
    </row>
    <row r="613" spans="17:61" ht="12">
      <c r="Q613" s="25" t="s">
        <v>60</v>
      </c>
      <c r="S613" s="28" t="s">
        <v>17</v>
      </c>
      <c r="T613" s="28" t="s">
        <v>38</v>
      </c>
      <c r="U613" s="28" t="s">
        <v>38</v>
      </c>
      <c r="V613" s="28" t="s">
        <v>38</v>
      </c>
      <c r="W613" s="28" t="s">
        <v>38</v>
      </c>
      <c r="X613" s="28" t="s">
        <v>38</v>
      </c>
      <c r="Y613" s="143" t="s">
        <v>38</v>
      </c>
      <c r="AH613" s="137"/>
      <c r="AI613" s="25" t="s">
        <v>60</v>
      </c>
      <c r="AJ613" s="25"/>
      <c r="AK613" s="28" t="s">
        <v>17</v>
      </c>
      <c r="AL613" s="28" t="s">
        <v>38</v>
      </c>
      <c r="AM613" s="28" t="s">
        <v>38</v>
      </c>
      <c r="AN613" s="28" t="s">
        <v>38</v>
      </c>
      <c r="AO613" s="28" t="s">
        <v>38</v>
      </c>
      <c r="AP613" s="28" t="s">
        <v>38</v>
      </c>
      <c r="AQ613" s="143" t="s">
        <v>38</v>
      </c>
      <c r="AR613" s="60"/>
      <c r="AS613" s="60"/>
      <c r="AT613" s="60"/>
      <c r="AU613" s="60"/>
      <c r="AV613" s="60"/>
      <c r="AW613" s="60"/>
      <c r="AX613" s="60"/>
      <c r="AY613" s="60"/>
      <c r="AZ613" s="137"/>
      <c r="BA613" s="133" t="s">
        <v>60</v>
      </c>
      <c r="BC613" s="143" t="s">
        <v>17</v>
      </c>
      <c r="BD613" s="143" t="s">
        <v>38</v>
      </c>
      <c r="BE613" s="143" t="s">
        <v>38</v>
      </c>
      <c r="BF613" s="143" t="s">
        <v>38</v>
      </c>
      <c r="BG613" s="143" t="s">
        <v>38</v>
      </c>
      <c r="BH613" s="143" t="s">
        <v>38</v>
      </c>
      <c r="BI613" s="143" t="s">
        <v>38</v>
      </c>
    </row>
    <row r="614" spans="18:61" ht="12">
      <c r="R614" s="25" t="s">
        <v>61</v>
      </c>
      <c r="S614" s="44">
        <f>T614-X614</f>
        <v>-0.9800000000000001</v>
      </c>
      <c r="T614" s="25">
        <v>0.37</v>
      </c>
      <c r="U614" s="25">
        <v>1.98</v>
      </c>
      <c r="V614" s="25">
        <v>1.76</v>
      </c>
      <c r="W614" s="25">
        <v>-3.86</v>
      </c>
      <c r="X614" s="25">
        <v>1.35</v>
      </c>
      <c r="Y614" s="140">
        <f>AVERAGE(T614:X614)</f>
        <v>0.3200000000000001</v>
      </c>
      <c r="AC614" s="42"/>
      <c r="AD614" s="42"/>
      <c r="AE614" s="42"/>
      <c r="AF614" s="42"/>
      <c r="AG614" s="42"/>
      <c r="AH614" s="53"/>
      <c r="AI614" s="25"/>
      <c r="AJ614" s="25" t="s">
        <v>61</v>
      </c>
      <c r="AK614" s="44">
        <f>AL614-AP614</f>
        <v>0.16000000000000003</v>
      </c>
      <c r="AL614" s="33">
        <f aca="true" t="shared" si="295" ref="AL614:AP615">2*AC616</f>
        <v>0.46</v>
      </c>
      <c r="AM614" s="33">
        <f t="shared" si="295"/>
        <v>0.3</v>
      </c>
      <c r="AN614" s="33">
        <f t="shared" si="295"/>
        <v>0.2</v>
      </c>
      <c r="AO614" s="33">
        <f t="shared" si="295"/>
        <v>0.16</v>
      </c>
      <c r="AP614" s="33">
        <f t="shared" si="295"/>
        <v>0.3</v>
      </c>
      <c r="AQ614" s="140">
        <f>AVERAGE(AL614:AP614)</f>
        <v>0.284</v>
      </c>
      <c r="AR614" s="60"/>
      <c r="AS614" s="60"/>
      <c r="AT614" s="60"/>
      <c r="AU614" s="65"/>
      <c r="AV614" s="65"/>
      <c r="AW614" s="65"/>
      <c r="AX614" s="65"/>
      <c r="AY614" s="65"/>
      <c r="AZ614" s="53"/>
      <c r="BB614" s="133" t="s">
        <v>61</v>
      </c>
      <c r="BC614" s="148">
        <f>BD614-BH614</f>
        <v>0.5599999999999999</v>
      </c>
      <c r="BD614" s="149">
        <f aca="true" t="shared" si="296" ref="BD614:BH615">2*AU616</f>
        <v>0.72</v>
      </c>
      <c r="BE614" s="149">
        <f t="shared" si="296"/>
        <v>0.6</v>
      </c>
      <c r="BF614" s="149">
        <f t="shared" si="296"/>
        <v>0.48</v>
      </c>
      <c r="BG614" s="149">
        <f t="shared" si="296"/>
        <v>0.38</v>
      </c>
      <c r="BH614" s="149">
        <f t="shared" si="296"/>
        <v>0.16</v>
      </c>
      <c r="BI614" s="140">
        <f>AVERAGE(BD614:BH614)</f>
        <v>0.46799999999999997</v>
      </c>
    </row>
    <row r="615" spans="18:61" ht="12">
      <c r="R615" s="25" t="s">
        <v>62</v>
      </c>
      <c r="S615" s="44">
        <f>T615-X615</f>
        <v>-0.9800000000000001</v>
      </c>
      <c r="T615" s="25">
        <v>0.37</v>
      </c>
      <c r="U615" s="25">
        <v>1.98</v>
      </c>
      <c r="V615" s="25">
        <v>1.76</v>
      </c>
      <c r="W615" s="25">
        <v>-3.86</v>
      </c>
      <c r="X615" s="25">
        <v>1.35</v>
      </c>
      <c r="Y615" s="140">
        <f>AVERAGE(T615:X615)</f>
        <v>0.3200000000000001</v>
      </c>
      <c r="Z615" s="25" t="s">
        <v>60</v>
      </c>
      <c r="AB615" s="28" t="s">
        <v>17</v>
      </c>
      <c r="AC615" s="28" t="s">
        <v>68</v>
      </c>
      <c r="AD615" s="28" t="s">
        <v>68</v>
      </c>
      <c r="AE615" s="28" t="s">
        <v>68</v>
      </c>
      <c r="AF615" s="28" t="s">
        <v>68</v>
      </c>
      <c r="AG615" s="28" t="s">
        <v>68</v>
      </c>
      <c r="AH615" s="138" t="s">
        <v>68</v>
      </c>
      <c r="AI615" s="25"/>
      <c r="AJ615" s="25" t="s">
        <v>62</v>
      </c>
      <c r="AK615" s="44">
        <f>AL615-AP615</f>
        <v>0.18</v>
      </c>
      <c r="AL615" s="33">
        <f t="shared" si="295"/>
        <v>0.46</v>
      </c>
      <c r="AM615" s="33">
        <f t="shared" si="295"/>
        <v>0.28</v>
      </c>
      <c r="AN615" s="33">
        <f t="shared" si="295"/>
        <v>0.2</v>
      </c>
      <c r="AO615" s="33">
        <f t="shared" si="295"/>
        <v>0.16</v>
      </c>
      <c r="AP615" s="33">
        <f t="shared" si="295"/>
        <v>0.28</v>
      </c>
      <c r="AQ615" s="140">
        <f>AVERAGE(AL615:AP615)</f>
        <v>0.27599999999999997</v>
      </c>
      <c r="AR615" s="60" t="s">
        <v>60</v>
      </c>
      <c r="AS615" s="60"/>
      <c r="AT615" s="62" t="s">
        <v>17</v>
      </c>
      <c r="AU615" s="62" t="s">
        <v>68</v>
      </c>
      <c r="AV615" s="62" t="s">
        <v>68</v>
      </c>
      <c r="AW615" s="62" t="s">
        <v>68</v>
      </c>
      <c r="AX615" s="62" t="s">
        <v>68</v>
      </c>
      <c r="AY615" s="62" t="s">
        <v>68</v>
      </c>
      <c r="AZ615" s="138" t="s">
        <v>68</v>
      </c>
      <c r="BB615" s="133" t="s">
        <v>62</v>
      </c>
      <c r="BC615" s="148">
        <f>BD615-BH615</f>
        <v>0.5399999999999999</v>
      </c>
      <c r="BD615" s="149">
        <f t="shared" si="296"/>
        <v>0.7</v>
      </c>
      <c r="BE615" s="149">
        <f t="shared" si="296"/>
        <v>0.6</v>
      </c>
      <c r="BF615" s="149">
        <f t="shared" si="296"/>
        <v>0.46</v>
      </c>
      <c r="BG615" s="149">
        <f t="shared" si="296"/>
        <v>0.36</v>
      </c>
      <c r="BH615" s="149">
        <f t="shared" si="296"/>
        <v>0.16</v>
      </c>
      <c r="BI615" s="140">
        <f>AVERAGE(BD615:BH615)</f>
        <v>0.45599999999999996</v>
      </c>
    </row>
    <row r="616" spans="27:61" ht="12">
      <c r="AA616" s="25" t="s">
        <v>61</v>
      </c>
      <c r="AB616" s="44">
        <f>AC616-AG616</f>
        <v>0.08000000000000002</v>
      </c>
      <c r="AC616" s="33">
        <v>0.23</v>
      </c>
      <c r="AD616" s="33">
        <v>0.15</v>
      </c>
      <c r="AE616" s="33">
        <v>0.1</v>
      </c>
      <c r="AF616" s="33">
        <v>0.08</v>
      </c>
      <c r="AG616" s="33">
        <v>0.15</v>
      </c>
      <c r="AH616" s="140">
        <f>AVERAGE(AC616:AG616)</f>
        <v>0.142</v>
      </c>
      <c r="AI616" s="25"/>
      <c r="AJ616" s="25"/>
      <c r="AK616" s="25"/>
      <c r="AL616" s="25"/>
      <c r="AM616" s="25"/>
      <c r="AN616" s="25"/>
      <c r="AO616" s="25"/>
      <c r="AP616" s="25"/>
      <c r="AQ616" s="137"/>
      <c r="AR616" s="60"/>
      <c r="AS616" s="60" t="s">
        <v>61</v>
      </c>
      <c r="AT616" s="135">
        <f>AU616-AY616</f>
        <v>0.27999999999999997</v>
      </c>
      <c r="AU616" s="69">
        <v>0.36</v>
      </c>
      <c r="AV616" s="69">
        <v>0.3</v>
      </c>
      <c r="AW616" s="69">
        <v>0.24</v>
      </c>
      <c r="AX616" s="69">
        <v>0.19</v>
      </c>
      <c r="AY616" s="69">
        <v>0.08</v>
      </c>
      <c r="AZ616" s="140">
        <f>AVERAGE(AU616:AY616)</f>
        <v>0.23399999999999999</v>
      </c>
      <c r="BI616" s="137"/>
    </row>
    <row r="617" spans="17:61" ht="12">
      <c r="Q617" s="22" t="s">
        <v>77</v>
      </c>
      <c r="T617" s="28" t="s">
        <v>71</v>
      </c>
      <c r="U617" s="28" t="s">
        <v>71</v>
      </c>
      <c r="V617" s="28" t="s">
        <v>71</v>
      </c>
      <c r="W617" s="28" t="s">
        <v>71</v>
      </c>
      <c r="X617" s="28" t="s">
        <v>71</v>
      </c>
      <c r="Y617" s="138" t="s">
        <v>71</v>
      </c>
      <c r="AA617" s="25" t="s">
        <v>62</v>
      </c>
      <c r="AB617" s="44">
        <f>AC617-AG617</f>
        <v>0.09</v>
      </c>
      <c r="AC617" s="33">
        <v>0.23</v>
      </c>
      <c r="AD617" s="33">
        <v>0.14</v>
      </c>
      <c r="AE617" s="33">
        <v>0.1</v>
      </c>
      <c r="AF617" s="33">
        <v>0.08</v>
      </c>
      <c r="AG617" s="33">
        <v>0.14</v>
      </c>
      <c r="AH617" s="140">
        <f>AVERAGE(AC617:AG617)</f>
        <v>0.13799999999999998</v>
      </c>
      <c r="AI617" s="22" t="s">
        <v>77</v>
      </c>
      <c r="AJ617" s="25"/>
      <c r="AK617" s="25"/>
      <c r="AL617" s="28" t="s">
        <v>71</v>
      </c>
      <c r="AM617" s="28" t="s">
        <v>71</v>
      </c>
      <c r="AN617" s="28" t="s">
        <v>71</v>
      </c>
      <c r="AO617" s="28" t="s">
        <v>71</v>
      </c>
      <c r="AP617" s="28" t="s">
        <v>71</v>
      </c>
      <c r="AQ617" s="138" t="s">
        <v>71</v>
      </c>
      <c r="AR617" s="60"/>
      <c r="AS617" s="60" t="s">
        <v>62</v>
      </c>
      <c r="AT617" s="135">
        <f>AU617-AY617</f>
        <v>0.26999999999999996</v>
      </c>
      <c r="AU617" s="69">
        <v>0.35</v>
      </c>
      <c r="AV617" s="69">
        <v>0.3</v>
      </c>
      <c r="AW617" s="69">
        <v>0.23</v>
      </c>
      <c r="AX617" s="69">
        <v>0.18</v>
      </c>
      <c r="AY617" s="69">
        <v>0.08</v>
      </c>
      <c r="AZ617" s="140">
        <f>AVERAGE(AU617:AY617)</f>
        <v>0.22799999999999998</v>
      </c>
      <c r="BA617" s="139" t="s">
        <v>77</v>
      </c>
      <c r="BD617" s="143" t="s">
        <v>71</v>
      </c>
      <c r="BE617" s="143" t="s">
        <v>71</v>
      </c>
      <c r="BF617" s="143" t="s">
        <v>71</v>
      </c>
      <c r="BG617" s="143" t="s">
        <v>71</v>
      </c>
      <c r="BH617" s="143" t="s">
        <v>71</v>
      </c>
      <c r="BI617" s="138" t="s">
        <v>71</v>
      </c>
    </row>
    <row r="618" spans="20:61" ht="12">
      <c r="T618" s="28" t="s">
        <v>38</v>
      </c>
      <c r="U618" s="28" t="s">
        <v>38</v>
      </c>
      <c r="V618" s="28" t="s">
        <v>38</v>
      </c>
      <c r="W618" s="28" t="s">
        <v>38</v>
      </c>
      <c r="X618" s="28" t="s">
        <v>38</v>
      </c>
      <c r="Y618" s="143" t="s">
        <v>38</v>
      </c>
      <c r="AH618" s="137"/>
      <c r="AI618" s="25"/>
      <c r="AJ618" s="25"/>
      <c r="AK618" s="25"/>
      <c r="AL618" s="28" t="s">
        <v>38</v>
      </c>
      <c r="AM618" s="28" t="s">
        <v>38</v>
      </c>
      <c r="AN618" s="28" t="s">
        <v>38</v>
      </c>
      <c r="AO618" s="28" t="s">
        <v>38</v>
      </c>
      <c r="AP618" s="28" t="s">
        <v>38</v>
      </c>
      <c r="AQ618" s="143" t="s">
        <v>38</v>
      </c>
      <c r="AR618" s="60"/>
      <c r="AS618" s="60"/>
      <c r="AT618" s="60"/>
      <c r="AU618" s="60"/>
      <c r="AV618" s="60"/>
      <c r="AW618" s="60"/>
      <c r="AX618" s="60"/>
      <c r="AY618" s="60"/>
      <c r="AZ618" s="137"/>
      <c r="BD618" s="143" t="s">
        <v>38</v>
      </c>
      <c r="BE618" s="143" t="s">
        <v>38</v>
      </c>
      <c r="BF618" s="143" t="s">
        <v>38</v>
      </c>
      <c r="BG618" s="143" t="s">
        <v>38</v>
      </c>
      <c r="BH618" s="143" t="s">
        <v>38</v>
      </c>
      <c r="BI618" s="143" t="s">
        <v>38</v>
      </c>
    </row>
    <row r="619" spans="17:61" ht="12">
      <c r="Q619" s="25" t="s">
        <v>79</v>
      </c>
      <c r="S619" s="132">
        <f>T619-X619</f>
        <v>340</v>
      </c>
      <c r="T619" s="42">
        <v>650</v>
      </c>
      <c r="U619" s="42">
        <v>273</v>
      </c>
      <c r="V619" s="42">
        <v>344</v>
      </c>
      <c r="W619" s="42">
        <v>190</v>
      </c>
      <c r="X619" s="42">
        <v>310</v>
      </c>
      <c r="Y619" s="53">
        <f>AVERAGE(T619:X619)</f>
        <v>353.4</v>
      </c>
      <c r="Z619" s="22" t="s">
        <v>77</v>
      </c>
      <c r="AC619" s="28" t="s">
        <v>71</v>
      </c>
      <c r="AD619" s="28" t="s">
        <v>71</v>
      </c>
      <c r="AE619" s="28" t="s">
        <v>71</v>
      </c>
      <c r="AF619" s="28" t="s">
        <v>71</v>
      </c>
      <c r="AG619" s="28" t="s">
        <v>71</v>
      </c>
      <c r="AH619" s="138" t="s">
        <v>71</v>
      </c>
      <c r="AI619" s="25" t="s">
        <v>79</v>
      </c>
      <c r="AJ619" s="25"/>
      <c r="AK619" s="132">
        <f>AL619-AM619</f>
        <v>-44</v>
      </c>
      <c r="AL619" s="42">
        <f aca="true" t="shared" si="297" ref="AL619:AP621">2*AC621</f>
        <v>450</v>
      </c>
      <c r="AM619" s="42">
        <f t="shared" si="297"/>
        <v>494</v>
      </c>
      <c r="AN619" s="42">
        <f t="shared" si="297"/>
        <v>0</v>
      </c>
      <c r="AO619" s="42">
        <f t="shared" si="297"/>
        <v>0</v>
      </c>
      <c r="AP619" s="42">
        <f t="shared" si="297"/>
        <v>0</v>
      </c>
      <c r="AQ619" s="53">
        <f>AVERAGE(AL619:AP619)</f>
        <v>188.8</v>
      </c>
      <c r="AR619" s="64" t="s">
        <v>77</v>
      </c>
      <c r="AS619" s="60"/>
      <c r="AT619" s="60"/>
      <c r="AU619" s="62" t="s">
        <v>71</v>
      </c>
      <c r="AV619" s="62" t="s">
        <v>71</v>
      </c>
      <c r="AW619" s="62" t="s">
        <v>71</v>
      </c>
      <c r="AX619" s="62" t="s">
        <v>71</v>
      </c>
      <c r="AY619" s="62" t="s">
        <v>71</v>
      </c>
      <c r="AZ619" s="138" t="s">
        <v>71</v>
      </c>
      <c r="BA619" s="133" t="s">
        <v>79</v>
      </c>
      <c r="BC619" s="146">
        <f>BD619-BE619</f>
        <v>-354</v>
      </c>
      <c r="BD619" s="147">
        <f aca="true" t="shared" si="298" ref="BD619:BF621">2*AU621</f>
        <v>1322</v>
      </c>
      <c r="BE619" s="147">
        <f t="shared" si="298"/>
        <v>1676</v>
      </c>
      <c r="BF619" s="147">
        <f t="shared" si="298"/>
        <v>1112</v>
      </c>
      <c r="BG619" s="147"/>
      <c r="BH619" s="147"/>
      <c r="BI619" s="53">
        <f>AVERAGE(BD619:BH619)</f>
        <v>1370</v>
      </c>
    </row>
    <row r="620" spans="17:61" ht="12">
      <c r="Q620" s="25" t="s">
        <v>80</v>
      </c>
      <c r="S620" s="132">
        <f>T620-X620</f>
        <v>-463</v>
      </c>
      <c r="T620" s="42">
        <v>-676</v>
      </c>
      <c r="U620" s="42">
        <v>-34</v>
      </c>
      <c r="V620" s="42">
        <v>-275</v>
      </c>
      <c r="W620" s="42">
        <v>-170</v>
      </c>
      <c r="X620" s="42">
        <v>-213</v>
      </c>
      <c r="Y620" s="53">
        <f>AVERAGE(T620:X620)</f>
        <v>-273.6</v>
      </c>
      <c r="AC620" s="28" t="s">
        <v>68</v>
      </c>
      <c r="AD620" s="28" t="s">
        <v>68</v>
      </c>
      <c r="AE620" s="28" t="s">
        <v>68</v>
      </c>
      <c r="AF620" s="28" t="s">
        <v>68</v>
      </c>
      <c r="AG620" s="28" t="s">
        <v>68</v>
      </c>
      <c r="AH620" s="138" t="s">
        <v>68</v>
      </c>
      <c r="AI620" s="25" t="s">
        <v>80</v>
      </c>
      <c r="AJ620" s="25"/>
      <c r="AK620" s="132">
        <f>AL620-AM620</f>
        <v>-302</v>
      </c>
      <c r="AL620" s="42">
        <f t="shared" si="297"/>
        <v>-628</v>
      </c>
      <c r="AM620" s="42">
        <f t="shared" si="297"/>
        <v>-326</v>
      </c>
      <c r="AN620" s="42">
        <f t="shared" si="297"/>
        <v>0</v>
      </c>
      <c r="AO620" s="42">
        <f t="shared" si="297"/>
        <v>0</v>
      </c>
      <c r="AP620" s="42">
        <f t="shared" si="297"/>
        <v>0</v>
      </c>
      <c r="AQ620" s="53">
        <f>AVERAGE(AL620:AP620)</f>
        <v>-190.8</v>
      </c>
      <c r="AR620" s="60"/>
      <c r="AS620" s="60"/>
      <c r="AT620" s="60"/>
      <c r="AU620" s="62" t="s">
        <v>68</v>
      </c>
      <c r="AV620" s="62" t="s">
        <v>68</v>
      </c>
      <c r="AW620" s="62" t="s">
        <v>68</v>
      </c>
      <c r="AX620" s="62" t="s">
        <v>68</v>
      </c>
      <c r="AY620" s="62" t="s">
        <v>68</v>
      </c>
      <c r="AZ620" s="138" t="s">
        <v>68</v>
      </c>
      <c r="BA620" s="133" t="s">
        <v>80</v>
      </c>
      <c r="BC620" s="146">
        <f>BD620-BE620</f>
        <v>588</v>
      </c>
      <c r="BD620" s="147">
        <f t="shared" si="298"/>
        <v>-756</v>
      </c>
      <c r="BE620" s="147">
        <f t="shared" si="298"/>
        <v>-1344</v>
      </c>
      <c r="BF620" s="147">
        <f t="shared" si="298"/>
        <v>-590</v>
      </c>
      <c r="BG620" s="147">
        <f>2*AX622</f>
        <v>0</v>
      </c>
      <c r="BH620" s="147">
        <f>2*AY622</f>
        <v>0</v>
      </c>
      <c r="BI620" s="53">
        <f>AVERAGE(BD620:BH620)</f>
        <v>-538</v>
      </c>
    </row>
    <row r="621" spans="17:61" ht="12">
      <c r="Q621" s="25" t="s">
        <v>75</v>
      </c>
      <c r="S621" s="132">
        <f>T621-X621</f>
        <v>672</v>
      </c>
      <c r="T621" s="42">
        <v>637</v>
      </c>
      <c r="U621" s="42">
        <v>0</v>
      </c>
      <c r="V621" s="42">
        <v>0</v>
      </c>
      <c r="W621" s="42">
        <v>0</v>
      </c>
      <c r="X621" s="42">
        <v>-35</v>
      </c>
      <c r="Y621" s="53">
        <f>AVERAGE(T621:X621)</f>
        <v>120.4</v>
      </c>
      <c r="Z621" s="25" t="s">
        <v>79</v>
      </c>
      <c r="AB621" s="132">
        <f>AC621-AD621</f>
        <v>-22</v>
      </c>
      <c r="AC621" s="42">
        <v>225</v>
      </c>
      <c r="AD621" s="42">
        <v>247</v>
      </c>
      <c r="AE621" s="42"/>
      <c r="AF621" s="42"/>
      <c r="AG621" s="42"/>
      <c r="AH621" s="53">
        <f>AVERAGE(AC621:AG621)</f>
        <v>236</v>
      </c>
      <c r="AI621" s="25" t="s">
        <v>75</v>
      </c>
      <c r="AJ621" s="25"/>
      <c r="AK621" s="132">
        <f>AL621-AM621</f>
        <v>394</v>
      </c>
      <c r="AL621" s="42">
        <f t="shared" si="297"/>
        <v>568</v>
      </c>
      <c r="AM621" s="42">
        <f t="shared" si="297"/>
        <v>174</v>
      </c>
      <c r="AN621" s="42">
        <f t="shared" si="297"/>
        <v>0</v>
      </c>
      <c r="AO621" s="42">
        <f t="shared" si="297"/>
        <v>0</v>
      </c>
      <c r="AP621" s="42">
        <f t="shared" si="297"/>
        <v>0</v>
      </c>
      <c r="AQ621" s="53">
        <f>AVERAGE(AL621:AP621)</f>
        <v>148.4</v>
      </c>
      <c r="AR621" s="60" t="s">
        <v>79</v>
      </c>
      <c r="AS621" s="60"/>
      <c r="AT621" s="134">
        <f>AU621-AW621</f>
        <v>105</v>
      </c>
      <c r="AU621" s="65">
        <v>661</v>
      </c>
      <c r="AV621" s="65">
        <v>838</v>
      </c>
      <c r="AW621" s="65">
        <v>556</v>
      </c>
      <c r="AX621" s="65" t="s">
        <v>17</v>
      </c>
      <c r="AY621" s="65" t="s">
        <v>17</v>
      </c>
      <c r="AZ621" s="53">
        <f>AVERAGE(AU621:AY621)</f>
        <v>685</v>
      </c>
      <c r="BA621" s="133" t="s">
        <v>75</v>
      </c>
      <c r="BC621" s="146">
        <f>BD621-BE621</f>
        <v>1796</v>
      </c>
      <c r="BD621" s="147">
        <f t="shared" si="298"/>
        <v>88</v>
      </c>
      <c r="BE621" s="147">
        <f t="shared" si="298"/>
        <v>-1708</v>
      </c>
      <c r="BF621" s="147">
        <f t="shared" si="298"/>
        <v>-102</v>
      </c>
      <c r="BG621" s="147">
        <f>2*AX623</f>
        <v>0</v>
      </c>
      <c r="BH621" s="147">
        <f>2*AY623</f>
        <v>0</v>
      </c>
      <c r="BI621" s="53">
        <f>AVERAGE(BD621:BH621)</f>
        <v>-344.4</v>
      </c>
    </row>
    <row r="622" spans="17:61" ht="12">
      <c r="Q622" s="25" t="s">
        <v>64</v>
      </c>
      <c r="S622" s="132">
        <f>T622-X622</f>
        <v>966</v>
      </c>
      <c r="T622" s="42">
        <v>1185</v>
      </c>
      <c r="U622" s="42">
        <v>545</v>
      </c>
      <c r="V622" s="42">
        <v>329</v>
      </c>
      <c r="W622" s="42">
        <v>248</v>
      </c>
      <c r="X622" s="42">
        <v>219</v>
      </c>
      <c r="Y622" s="53">
        <f>AVERAGE(T622:X622)</f>
        <v>505.2</v>
      </c>
      <c r="Z622" s="25" t="s">
        <v>80</v>
      </c>
      <c r="AB622" s="132">
        <f>AC622-AD622</f>
        <v>-151</v>
      </c>
      <c r="AC622" s="42">
        <v>-314</v>
      </c>
      <c r="AD622" s="42">
        <v>-163</v>
      </c>
      <c r="AE622" s="42"/>
      <c r="AF622" s="42"/>
      <c r="AG622" s="42"/>
      <c r="AH622" s="53">
        <f>AVERAGE(AC622:AG622)</f>
        <v>-238.5</v>
      </c>
      <c r="AI622" s="25" t="s">
        <v>64</v>
      </c>
      <c r="AJ622" s="25"/>
      <c r="AK622" s="132">
        <f>AL622-AM622</f>
        <v>388</v>
      </c>
      <c r="AL622" s="42">
        <f>2*AC625</f>
        <v>1722</v>
      </c>
      <c r="AM622" s="42">
        <f>2*AD625</f>
        <v>1334</v>
      </c>
      <c r="AN622" s="42">
        <f>2*AE625</f>
        <v>0</v>
      </c>
      <c r="AO622" s="42">
        <f>2*AF625</f>
        <v>0</v>
      </c>
      <c r="AP622" s="42">
        <f>2*AG625</f>
        <v>0</v>
      </c>
      <c r="AQ622" s="53">
        <f>AVERAGE(AL622:AP622)</f>
        <v>611.2</v>
      </c>
      <c r="AR622" s="60" t="s">
        <v>80</v>
      </c>
      <c r="AS622" s="60"/>
      <c r="AT622" s="134">
        <f>AU622-AW622</f>
        <v>-83</v>
      </c>
      <c r="AU622" s="65">
        <v>-378</v>
      </c>
      <c r="AV622" s="65">
        <v>-672</v>
      </c>
      <c r="AW622" s="65">
        <v>-295</v>
      </c>
      <c r="AX622" s="65"/>
      <c r="AY622" s="65"/>
      <c r="AZ622" s="53">
        <f>AVERAGE(AU622:AY622)</f>
        <v>-448.3333333333333</v>
      </c>
      <c r="BA622" s="133" t="s">
        <v>64</v>
      </c>
      <c r="BC622" s="146">
        <f>BD622-BE622</f>
        <v>554</v>
      </c>
      <c r="BD622" s="147">
        <f>2*AU625</f>
        <v>1914</v>
      </c>
      <c r="BE622" s="147">
        <f>2*AV625</f>
        <v>1360</v>
      </c>
      <c r="BF622" s="147">
        <f>2*AW625</f>
        <v>2566</v>
      </c>
      <c r="BG622" s="147">
        <f>2*AX625</f>
        <v>0</v>
      </c>
      <c r="BH622" s="147">
        <f>2*AY625</f>
        <v>0</v>
      </c>
      <c r="BI622" s="53">
        <f>AVERAGE(BD622:BH622)</f>
        <v>1168</v>
      </c>
    </row>
    <row r="623" spans="26:61" ht="12">
      <c r="Z623" s="25" t="s">
        <v>75</v>
      </c>
      <c r="AB623" s="132">
        <f>AC623-AD623</f>
        <v>197</v>
      </c>
      <c r="AC623" s="42">
        <v>284</v>
      </c>
      <c r="AD623" s="42">
        <v>87</v>
      </c>
      <c r="AE623" s="42"/>
      <c r="AF623" s="42"/>
      <c r="AG623" s="42"/>
      <c r="AH623" s="53">
        <f>AVERAGE(AC623:AG623)</f>
        <v>185.5</v>
      </c>
      <c r="AI623" s="25"/>
      <c r="AJ623" s="25"/>
      <c r="AK623" s="25"/>
      <c r="AL623" s="25"/>
      <c r="AM623" s="25"/>
      <c r="AN623" s="25"/>
      <c r="AO623" s="25"/>
      <c r="AP623" s="25"/>
      <c r="AQ623" s="137"/>
      <c r="AR623" s="60" t="s">
        <v>75</v>
      </c>
      <c r="AS623" s="60"/>
      <c r="AT623" s="134">
        <f>AU623-AW623</f>
        <v>95</v>
      </c>
      <c r="AU623" s="65">
        <v>44</v>
      </c>
      <c r="AV623" s="65">
        <v>-854</v>
      </c>
      <c r="AW623" s="65">
        <v>-51</v>
      </c>
      <c r="AX623" s="65"/>
      <c r="AY623" s="65"/>
      <c r="AZ623" s="53">
        <f>AVERAGE(AU623:AY623)</f>
        <v>-287</v>
      </c>
      <c r="BI623" s="137"/>
    </row>
    <row r="624" spans="17:61" ht="12">
      <c r="Q624" s="139" t="s">
        <v>282</v>
      </c>
      <c r="R624" s="133"/>
      <c r="S624" s="133"/>
      <c r="T624" s="28" t="s">
        <v>71</v>
      </c>
      <c r="U624" s="28" t="s">
        <v>71</v>
      </c>
      <c r="V624" s="28" t="s">
        <v>71</v>
      </c>
      <c r="W624" s="28" t="s">
        <v>71</v>
      </c>
      <c r="X624" s="28" t="s">
        <v>71</v>
      </c>
      <c r="Y624" s="138" t="s">
        <v>71</v>
      </c>
      <c r="Z624" s="25" t="s">
        <v>63</v>
      </c>
      <c r="AB624" s="132">
        <f>AC624-AD624</f>
        <v>171</v>
      </c>
      <c r="AC624" s="42">
        <v>667</v>
      </c>
      <c r="AD624" s="42">
        <v>496</v>
      </c>
      <c r="AE624" s="42"/>
      <c r="AF624" s="42"/>
      <c r="AG624" s="42"/>
      <c r="AH624" s="53">
        <f>AVERAGE(AC624:AG624)</f>
        <v>581.5</v>
      </c>
      <c r="AI624" s="139" t="s">
        <v>282</v>
      </c>
      <c r="AL624" s="28" t="s">
        <v>71</v>
      </c>
      <c r="AM624" s="28" t="s">
        <v>71</v>
      </c>
      <c r="AN624" s="28" t="s">
        <v>71</v>
      </c>
      <c r="AO624" s="28" t="s">
        <v>71</v>
      </c>
      <c r="AP624" s="28" t="s">
        <v>71</v>
      </c>
      <c r="AQ624" s="138" t="s">
        <v>71</v>
      </c>
      <c r="AR624" s="60" t="s">
        <v>63</v>
      </c>
      <c r="AS624" s="60"/>
      <c r="AT624" s="134">
        <f>AU624-AW624</f>
        <v>-438</v>
      </c>
      <c r="AU624" s="65">
        <v>680</v>
      </c>
      <c r="AV624" s="65">
        <v>1283</v>
      </c>
      <c r="AW624" s="65">
        <v>1118</v>
      </c>
      <c r="AX624" s="65"/>
      <c r="AY624" s="65"/>
      <c r="AZ624" s="53">
        <f>AVERAGE(AU624:AY624)</f>
        <v>1027</v>
      </c>
      <c r="BA624" s="139" t="s">
        <v>282</v>
      </c>
      <c r="BD624" s="28" t="s">
        <v>71</v>
      </c>
      <c r="BE624" s="28" t="s">
        <v>71</v>
      </c>
      <c r="BF624" s="28" t="s">
        <v>71</v>
      </c>
      <c r="BG624" s="28" t="s">
        <v>71</v>
      </c>
      <c r="BH624" s="28" t="s">
        <v>71</v>
      </c>
      <c r="BI624" s="138" t="s">
        <v>71</v>
      </c>
    </row>
    <row r="625" spans="17:61" ht="12">
      <c r="Q625" s="133"/>
      <c r="R625" s="133"/>
      <c r="S625" s="133"/>
      <c r="T625" s="28" t="s">
        <v>38</v>
      </c>
      <c r="U625" s="28" t="s">
        <v>38</v>
      </c>
      <c r="V625" s="28" t="s">
        <v>38</v>
      </c>
      <c r="W625" s="28" t="s">
        <v>38</v>
      </c>
      <c r="X625" s="28" t="s">
        <v>38</v>
      </c>
      <c r="Y625" s="143" t="s">
        <v>38</v>
      </c>
      <c r="Z625" s="25" t="s">
        <v>64</v>
      </c>
      <c r="AB625" s="132">
        <f>AC625-AD625</f>
        <v>194</v>
      </c>
      <c r="AC625" s="42">
        <v>861</v>
      </c>
      <c r="AD625" s="42">
        <v>667</v>
      </c>
      <c r="AE625" s="42"/>
      <c r="AF625" s="42"/>
      <c r="AG625" s="42"/>
      <c r="AH625" s="53">
        <f>AVERAGE(AC625:AG625)</f>
        <v>764</v>
      </c>
      <c r="AL625" s="28" t="s">
        <v>38</v>
      </c>
      <c r="AM625" s="28" t="s">
        <v>38</v>
      </c>
      <c r="AN625" s="28" t="s">
        <v>38</v>
      </c>
      <c r="AO625" s="28" t="s">
        <v>38</v>
      </c>
      <c r="AP625" s="28" t="s">
        <v>38</v>
      </c>
      <c r="AQ625" s="143" t="s">
        <v>38</v>
      </c>
      <c r="AR625" s="60" t="s">
        <v>64</v>
      </c>
      <c r="AS625" s="60"/>
      <c r="AT625" s="134">
        <f>AU625-AW625</f>
        <v>-326</v>
      </c>
      <c r="AU625" s="65">
        <v>957</v>
      </c>
      <c r="AV625" s="65">
        <v>680</v>
      </c>
      <c r="AW625" s="65">
        <v>1283</v>
      </c>
      <c r="AX625" s="65"/>
      <c r="AY625" s="65"/>
      <c r="AZ625" s="53">
        <f>AVERAGE(AU625:AY625)</f>
        <v>973.3333333333334</v>
      </c>
      <c r="BD625" s="28" t="s">
        <v>38</v>
      </c>
      <c r="BE625" s="28" t="s">
        <v>38</v>
      </c>
      <c r="BF625" s="28" t="s">
        <v>38</v>
      </c>
      <c r="BG625" s="28" t="s">
        <v>38</v>
      </c>
      <c r="BH625" s="28" t="s">
        <v>38</v>
      </c>
      <c r="BI625" s="143" t="s">
        <v>38</v>
      </c>
    </row>
    <row r="626" spans="17:61" ht="12">
      <c r="Q626" s="25" t="s">
        <v>283</v>
      </c>
      <c r="R626" s="22"/>
      <c r="S626" s="132">
        <f>T626-X626</f>
        <v>64</v>
      </c>
      <c r="T626" s="42">
        <v>217</v>
      </c>
      <c r="U626" s="42">
        <v>197</v>
      </c>
      <c r="V626" s="42">
        <v>218</v>
      </c>
      <c r="W626" s="42">
        <v>188</v>
      </c>
      <c r="X626" s="42">
        <v>153</v>
      </c>
      <c r="Y626" s="53">
        <f>AVERAGE(T626:X626)</f>
        <v>194.6</v>
      </c>
      <c r="AH626" s="137"/>
      <c r="AI626" s="25" t="s">
        <v>283</v>
      </c>
      <c r="AJ626" s="22"/>
      <c r="AK626" s="132">
        <f>AL626-AP626</f>
        <v>-78</v>
      </c>
      <c r="AL626" s="42">
        <v>622</v>
      </c>
      <c r="AM626" s="42">
        <v>584</v>
      </c>
      <c r="AN626" s="42">
        <v>620</v>
      </c>
      <c r="AO626" s="42">
        <v>660</v>
      </c>
      <c r="AP626" s="42">
        <v>700</v>
      </c>
      <c r="AQ626" s="53">
        <f>AVERAGE(AL626:AP626)</f>
        <v>637.2</v>
      </c>
      <c r="AR626" s="60"/>
      <c r="AS626" s="60"/>
      <c r="AT626" s="60"/>
      <c r="AU626" s="60"/>
      <c r="AV626" s="60"/>
      <c r="AW626" s="60"/>
      <c r="AX626" s="60"/>
      <c r="AY626" s="60"/>
      <c r="AZ626" s="137"/>
      <c r="BA626" s="25" t="s">
        <v>283</v>
      </c>
      <c r="BB626" s="22"/>
      <c r="BC626" s="132">
        <f>BD626-BH626</f>
        <v>4193</v>
      </c>
      <c r="BD626" s="42">
        <f>10635+2183</f>
        <v>12818</v>
      </c>
      <c r="BE626" s="42">
        <f>9754+2167</f>
        <v>11921</v>
      </c>
      <c r="BF626" s="42">
        <f>8410+1482</f>
        <v>9892</v>
      </c>
      <c r="BG626" s="42">
        <f>1694+8400</f>
        <v>10094</v>
      </c>
      <c r="BH626" s="42">
        <f>1530+7095</f>
        <v>8625</v>
      </c>
      <c r="BI626" s="53">
        <f>AVERAGE(BD626:BH626)</f>
        <v>10670</v>
      </c>
    </row>
    <row r="627" spans="17:61" ht="12">
      <c r="Q627" s="133" t="s">
        <v>284</v>
      </c>
      <c r="R627" s="133"/>
      <c r="S627" s="132">
        <f>T627-X627</f>
        <v>3350</v>
      </c>
      <c r="T627" s="42">
        <v>3577</v>
      </c>
      <c r="U627" s="42">
        <v>2227</v>
      </c>
      <c r="V627" s="42">
        <v>242</v>
      </c>
      <c r="W627" s="42">
        <v>259</v>
      </c>
      <c r="X627" s="42">
        <v>227</v>
      </c>
      <c r="Y627" s="53">
        <f>AVERAGE(T627:X627)</f>
        <v>1306.4</v>
      </c>
      <c r="AC627" s="28" t="s">
        <v>71</v>
      </c>
      <c r="AD627" s="28" t="s">
        <v>71</v>
      </c>
      <c r="AE627" s="28" t="s">
        <v>71</v>
      </c>
      <c r="AF627" s="28" t="s">
        <v>71</v>
      </c>
      <c r="AG627" s="28" t="s">
        <v>71</v>
      </c>
      <c r="AH627" s="138" t="s">
        <v>71</v>
      </c>
      <c r="AI627" s="133" t="s">
        <v>284</v>
      </c>
      <c r="AK627" s="132">
        <f>AL627-AP627</f>
        <v>1022</v>
      </c>
      <c r="AL627" s="42">
        <v>1392</v>
      </c>
      <c r="AM627" s="42">
        <v>798</v>
      </c>
      <c r="AN627" s="42">
        <v>660</v>
      </c>
      <c r="AO627" s="42">
        <v>642</v>
      </c>
      <c r="AP627" s="42">
        <v>370</v>
      </c>
      <c r="AQ627" s="53">
        <f>AVERAGE(AL627:AP627)</f>
        <v>772.4</v>
      </c>
      <c r="AR627" s="60"/>
      <c r="AS627" s="60"/>
      <c r="AT627" s="60"/>
      <c r="AU627" s="62" t="s">
        <v>71</v>
      </c>
      <c r="AV627" s="62" t="s">
        <v>71</v>
      </c>
      <c r="AW627" s="62" t="s">
        <v>71</v>
      </c>
      <c r="AX627" s="62" t="s">
        <v>71</v>
      </c>
      <c r="AY627" s="62" t="s">
        <v>71</v>
      </c>
      <c r="AZ627" s="138" t="s">
        <v>71</v>
      </c>
      <c r="BA627" s="133" t="s">
        <v>284</v>
      </c>
      <c r="BC627" s="132">
        <f>BD627-BH627</f>
        <v>205</v>
      </c>
      <c r="BD627" s="133">
        <v>813</v>
      </c>
      <c r="BE627" s="133">
        <v>728</v>
      </c>
      <c r="BF627" s="42">
        <v>594</v>
      </c>
      <c r="BG627" s="42">
        <v>615</v>
      </c>
      <c r="BH627" s="42">
        <v>608</v>
      </c>
      <c r="BI627" s="53">
        <f>AVERAGE(BD627:BH627)</f>
        <v>671.6</v>
      </c>
    </row>
    <row r="628" spans="18:61" ht="12">
      <c r="R628" s="22"/>
      <c r="S628" s="132"/>
      <c r="T628" s="42"/>
      <c r="U628" s="42"/>
      <c r="V628" s="42"/>
      <c r="W628" s="42"/>
      <c r="X628" s="42"/>
      <c r="Y628" s="53"/>
      <c r="Z628" s="22"/>
      <c r="AA628" s="22"/>
      <c r="AB628" s="22"/>
      <c r="AC628" s="28" t="s">
        <v>68</v>
      </c>
      <c r="AD628" s="28" t="s">
        <v>68</v>
      </c>
      <c r="AE628" s="28" t="s">
        <v>68</v>
      </c>
      <c r="AF628" s="28" t="s">
        <v>68</v>
      </c>
      <c r="AG628" s="28" t="s">
        <v>68</v>
      </c>
      <c r="AH628" s="138" t="s">
        <v>68</v>
      </c>
      <c r="AI628" s="25"/>
      <c r="AJ628" s="22"/>
      <c r="AK628" s="132"/>
      <c r="AL628" s="25"/>
      <c r="AM628" s="25"/>
      <c r="AN628" s="25"/>
      <c r="AO628" s="25"/>
      <c r="AP628" s="25"/>
      <c r="AQ628" s="53"/>
      <c r="AR628" s="64"/>
      <c r="AS628" s="64"/>
      <c r="AT628" s="64"/>
      <c r="AU628" s="62" t="s">
        <v>68</v>
      </c>
      <c r="AV628" s="62" t="s">
        <v>68</v>
      </c>
      <c r="AW628" s="62" t="s">
        <v>68</v>
      </c>
      <c r="AX628" s="62" t="s">
        <v>68</v>
      </c>
      <c r="AY628" s="62" t="s">
        <v>68</v>
      </c>
      <c r="AZ628" s="138" t="s">
        <v>68</v>
      </c>
      <c r="BA628" s="25"/>
      <c r="BB628" s="22"/>
      <c r="BC628" s="132"/>
      <c r="BI628" s="53"/>
    </row>
    <row r="629" spans="26:52" ht="12">
      <c r="Z629" s="22" t="s">
        <v>102</v>
      </c>
      <c r="AB629" s="132">
        <f>AC629-AG629</f>
        <v>809</v>
      </c>
      <c r="AC629" s="42">
        <f>AC601-AC602</f>
        <v>1614</v>
      </c>
      <c r="AD629" s="42">
        <f>AD601-AD602</f>
        <v>1215</v>
      </c>
      <c r="AE629" s="42">
        <f>AE601-AE602</f>
        <v>1010</v>
      </c>
      <c r="AF629" s="42">
        <f>AF601-AF602</f>
        <v>867</v>
      </c>
      <c r="AG629" s="42">
        <f>AG601-AG602</f>
        <v>805</v>
      </c>
      <c r="AH629" s="53">
        <f>AVERAGE(AC629:AG629)</f>
        <v>1102.2</v>
      </c>
      <c r="AR629" s="64" t="s">
        <v>102</v>
      </c>
      <c r="AS629" s="60"/>
      <c r="AT629" s="134">
        <f>AU629-AY629</f>
        <v>773</v>
      </c>
      <c r="AU629" s="65">
        <f>AU601-AU602</f>
        <v>6612</v>
      </c>
      <c r="AV629" s="65">
        <f>AV601-AV602</f>
        <v>6959</v>
      </c>
      <c r="AW629" s="65">
        <f>AW601-AW602</f>
        <v>5522</v>
      </c>
      <c r="AX629" s="65">
        <f>AX601-AX602</f>
        <v>6081</v>
      </c>
      <c r="AY629" s="65">
        <f>AY601-AY602</f>
        <v>5839</v>
      </c>
      <c r="AZ629" s="53">
        <f>AVERAGE(AU629:AY629)</f>
        <v>6202.6</v>
      </c>
    </row>
    <row r="630" spans="26:52" ht="12">
      <c r="Z630" s="22" t="s">
        <v>104</v>
      </c>
      <c r="AB630" s="132">
        <f>AC630-AG630</f>
        <v>259</v>
      </c>
      <c r="AC630" s="42">
        <f>AC606-AC629</f>
        <v>6</v>
      </c>
      <c r="AD630" s="42">
        <f>AD606-AD629</f>
        <v>126</v>
      </c>
      <c r="AE630" s="42">
        <f>AE606-AE629</f>
        <v>81</v>
      </c>
      <c r="AF630" s="42">
        <f>AF606-AF629</f>
        <v>65</v>
      </c>
      <c r="AG630" s="42">
        <f>AG606-AG629</f>
        <v>-253</v>
      </c>
      <c r="AH630" s="53">
        <f>AVERAGE(AC630:AG630)</f>
        <v>5</v>
      </c>
      <c r="AR630" s="64" t="s">
        <v>104</v>
      </c>
      <c r="AS630" s="60"/>
      <c r="AT630" s="134">
        <f>AU630-AY630</f>
        <v>1227</v>
      </c>
      <c r="AU630" s="65">
        <f>AU606-AU629</f>
        <v>-704</v>
      </c>
      <c r="AV630" s="65">
        <f>AV606-AV629</f>
        <v>-1585</v>
      </c>
      <c r="AW630" s="65">
        <f>AW606-AW629</f>
        <v>-1222</v>
      </c>
      <c r="AX630" s="65">
        <f>AX606-AX629</f>
        <v>-1975</v>
      </c>
      <c r="AY630" s="65">
        <f>AY606-AY629</f>
        <v>-1931</v>
      </c>
      <c r="AZ630" s="53">
        <f>AVERAGE(AU630:AY630)</f>
        <v>-1483.4</v>
      </c>
    </row>
    <row r="631" spans="20:61" ht="12">
      <c r="T631" s="28" t="s">
        <v>71</v>
      </c>
      <c r="U631" s="28" t="s">
        <v>71</v>
      </c>
      <c r="V631" s="28" t="s">
        <v>71</v>
      </c>
      <c r="W631" s="28" t="s">
        <v>71</v>
      </c>
      <c r="X631" s="28" t="s">
        <v>71</v>
      </c>
      <c r="Y631" s="138" t="s">
        <v>71</v>
      </c>
      <c r="Z631" s="22"/>
      <c r="AC631" s="33"/>
      <c r="AD631" s="33"/>
      <c r="AE631" s="33"/>
      <c r="AF631" s="33"/>
      <c r="AG631" s="33"/>
      <c r="AH631" s="140"/>
      <c r="AI631" s="25"/>
      <c r="AJ631" s="25"/>
      <c r="AK631" s="25"/>
      <c r="AL631" s="28" t="s">
        <v>71</v>
      </c>
      <c r="AM631" s="28" t="s">
        <v>71</v>
      </c>
      <c r="AN631" s="28" t="s">
        <v>71</v>
      </c>
      <c r="AO631" s="28" t="s">
        <v>71</v>
      </c>
      <c r="AP631" s="28" t="s">
        <v>71</v>
      </c>
      <c r="AQ631" s="138" t="s">
        <v>71</v>
      </c>
      <c r="AR631" s="64"/>
      <c r="AS631" s="60"/>
      <c r="AT631" s="60"/>
      <c r="AU631" s="69"/>
      <c r="AV631" s="69"/>
      <c r="AW631" s="69"/>
      <c r="AX631" s="69"/>
      <c r="AY631" s="69"/>
      <c r="AZ631" s="140"/>
      <c r="BD631" s="143" t="s">
        <v>71</v>
      </c>
      <c r="BE631" s="143" t="s">
        <v>71</v>
      </c>
      <c r="BF631" s="143" t="s">
        <v>71</v>
      </c>
      <c r="BG631" s="143" t="s">
        <v>71</v>
      </c>
      <c r="BH631" s="143" t="s">
        <v>71</v>
      </c>
      <c r="BI631" s="138" t="s">
        <v>71</v>
      </c>
    </row>
    <row r="632" spans="17:61" ht="12">
      <c r="Q632" s="22"/>
      <c r="R632" s="22"/>
      <c r="S632" s="22"/>
      <c r="T632" s="28" t="s">
        <v>38</v>
      </c>
      <c r="U632" s="28" t="s">
        <v>38</v>
      </c>
      <c r="V632" s="28" t="s">
        <v>38</v>
      </c>
      <c r="W632" s="28" t="s">
        <v>38</v>
      </c>
      <c r="X632" s="28" t="s">
        <v>38</v>
      </c>
      <c r="Y632" s="143" t="s">
        <v>38</v>
      </c>
      <c r="Z632" s="22"/>
      <c r="AC632" s="48" t="s">
        <v>105</v>
      </c>
      <c r="AD632" s="48" t="s">
        <v>105</v>
      </c>
      <c r="AE632" s="48" t="s">
        <v>105</v>
      </c>
      <c r="AF632" s="48" t="s">
        <v>105</v>
      </c>
      <c r="AG632" s="48" t="s">
        <v>105</v>
      </c>
      <c r="AH632" s="141" t="s">
        <v>105</v>
      </c>
      <c r="AI632" s="22"/>
      <c r="AJ632" s="22"/>
      <c r="AK632" s="22"/>
      <c r="AL632" s="28" t="s">
        <v>38</v>
      </c>
      <c r="AM632" s="28" t="s">
        <v>38</v>
      </c>
      <c r="AN632" s="28" t="s">
        <v>38</v>
      </c>
      <c r="AO632" s="28" t="s">
        <v>38</v>
      </c>
      <c r="AP632" s="28" t="s">
        <v>38</v>
      </c>
      <c r="AQ632" s="143" t="s">
        <v>38</v>
      </c>
      <c r="AR632" s="64"/>
      <c r="AS632" s="60"/>
      <c r="AT632" s="60"/>
      <c r="AU632" s="70" t="s">
        <v>105</v>
      </c>
      <c r="AV632" s="70" t="s">
        <v>105</v>
      </c>
      <c r="AW632" s="70" t="s">
        <v>105</v>
      </c>
      <c r="AX632" s="70" t="s">
        <v>105</v>
      </c>
      <c r="AY632" s="70" t="s">
        <v>105</v>
      </c>
      <c r="AZ632" s="141" t="s">
        <v>105</v>
      </c>
      <c r="BA632" s="139"/>
      <c r="BB632" s="139"/>
      <c r="BC632" s="139"/>
      <c r="BD632" s="143" t="s">
        <v>38</v>
      </c>
      <c r="BE632" s="143" t="s">
        <v>38</v>
      </c>
      <c r="BF632" s="143" t="s">
        <v>38</v>
      </c>
      <c r="BG632" s="143" t="s">
        <v>38</v>
      </c>
      <c r="BH632" s="143" t="s">
        <v>38</v>
      </c>
      <c r="BI632" s="143" t="s">
        <v>38</v>
      </c>
    </row>
    <row r="633" spans="17:61" ht="12">
      <c r="Q633" s="22" t="s">
        <v>102</v>
      </c>
      <c r="S633" s="132">
        <f>T633-X633</f>
        <v>1940</v>
      </c>
      <c r="T633" s="42">
        <f>T601-T602</f>
        <v>3271</v>
      </c>
      <c r="U633" s="42">
        <f>U601-U602</f>
        <v>2144</v>
      </c>
      <c r="V633" s="42">
        <f>V601-V602</f>
        <v>1964</v>
      </c>
      <c r="W633" s="42">
        <f>W601-W602</f>
        <v>1712</v>
      </c>
      <c r="X633" s="42">
        <f>X601-X602</f>
        <v>1331</v>
      </c>
      <c r="Y633" s="53">
        <f>AVERAGE(T633:X633)</f>
        <v>2084.4</v>
      </c>
      <c r="Z633" s="22" t="s">
        <v>53</v>
      </c>
      <c r="AB633" s="44">
        <f aca="true" t="shared" si="299" ref="AB633:AB639">AC633-AG633</f>
        <v>28.58212688663633</v>
      </c>
      <c r="AC633" s="51">
        <f>(AC603/AC629)*100</f>
        <v>70.69392812887236</v>
      </c>
      <c r="AD633" s="51">
        <f>(AD603/AD629)*100</f>
        <v>63.12757201646091</v>
      </c>
      <c r="AE633" s="51">
        <f>(AE603/AE629)*100</f>
        <v>53.069306930693074</v>
      </c>
      <c r="AF633" s="51">
        <f>(AF603/AF629)*100</f>
        <v>42.56055363321799</v>
      </c>
      <c r="AG633" s="51">
        <f>(AG603/AG629)*100</f>
        <v>42.11180124223603</v>
      </c>
      <c r="AH633" s="140">
        <f aca="true" t="shared" si="300" ref="AH633:AH639">AVERAGE(AC633:AG633)</f>
        <v>54.31263239029607</v>
      </c>
      <c r="AI633" s="22" t="s">
        <v>102</v>
      </c>
      <c r="AJ633" s="25"/>
      <c r="AK633" s="132">
        <f>AL633-AP633</f>
        <v>1618</v>
      </c>
      <c r="AL633" s="42">
        <f>AL601-AL602</f>
        <v>3228</v>
      </c>
      <c r="AM633" s="42">
        <f>AM601-AM602</f>
        <v>2430</v>
      </c>
      <c r="AN633" s="42">
        <f>AN601-AN602</f>
        <v>2020</v>
      </c>
      <c r="AO633" s="42">
        <f>AO601-AO602</f>
        <v>1734</v>
      </c>
      <c r="AP633" s="42">
        <f>AP601-AP602</f>
        <v>1610</v>
      </c>
      <c r="AQ633" s="53">
        <f>AVERAGE(AL633:AP633)</f>
        <v>2204.4</v>
      </c>
      <c r="AR633" s="64" t="s">
        <v>53</v>
      </c>
      <c r="AS633" s="60"/>
      <c r="AT633" s="134">
        <f aca="true" t="shared" si="301" ref="AT633:AT639">AU633-AY633</f>
        <v>56.05340914871705</v>
      </c>
      <c r="AU633" s="72">
        <f>(AU603/AU629)*100</f>
        <v>163.00665456745313</v>
      </c>
      <c r="AV633" s="72">
        <f>(AV603/AV629)*100</f>
        <v>149.48986923408535</v>
      </c>
      <c r="AW633" s="72">
        <f>(AW603/AW629)*100</f>
        <v>138.06591814559943</v>
      </c>
      <c r="AX633" s="72">
        <f>(AX603/AX629)*100</f>
        <v>114.09307679657952</v>
      </c>
      <c r="AY633" s="72">
        <f>(AY603/AY629)*100</f>
        <v>106.95324541873607</v>
      </c>
      <c r="AZ633" s="140">
        <f aca="true" t="shared" si="302" ref="AZ633:AZ639">AVERAGE(AU633:AY633)</f>
        <v>134.32175283249072</v>
      </c>
      <c r="BA633" s="139" t="s">
        <v>102</v>
      </c>
      <c r="BC633" s="146">
        <f>BD633-BH633</f>
        <v>1546</v>
      </c>
      <c r="BD633" s="147">
        <f>BD601-BD602</f>
        <v>13224</v>
      </c>
      <c r="BE633" s="147">
        <f>BE601-BE602</f>
        <v>13918</v>
      </c>
      <c r="BF633" s="147">
        <f>BF601-BF602</f>
        <v>11044</v>
      </c>
      <c r="BG633" s="147">
        <f>BG601-BG602</f>
        <v>12162</v>
      </c>
      <c r="BH633" s="147">
        <f>BH601-BH602</f>
        <v>11678</v>
      </c>
      <c r="BI633" s="53">
        <f>AVERAGE(BD633:BH633)</f>
        <v>12405.2</v>
      </c>
    </row>
    <row r="634" spans="17:61" ht="12">
      <c r="Q634" s="22" t="s">
        <v>104</v>
      </c>
      <c r="S634" s="44">
        <f>T634-X634</f>
        <v>-0.40467317346781506</v>
      </c>
      <c r="T634" s="33">
        <f>T606/T633</f>
        <v>1.01681442983797</v>
      </c>
      <c r="U634" s="33">
        <f>U606/U633</f>
        <v>1.3703358208955223</v>
      </c>
      <c r="V634" s="33">
        <f>V606/V633</f>
        <v>1.320264765784114</v>
      </c>
      <c r="W634" s="33">
        <f>W606/W633</f>
        <v>1.3031542056074767</v>
      </c>
      <c r="X634" s="33">
        <f>X606/X633</f>
        <v>1.421487603305785</v>
      </c>
      <c r="Y634" s="140">
        <f>AVERAGE(T634:X634)</f>
        <v>1.2864113650861735</v>
      </c>
      <c r="Z634" s="22" t="s">
        <v>54</v>
      </c>
      <c r="AB634" s="44">
        <f t="shared" si="299"/>
        <v>-22.883333333333333</v>
      </c>
      <c r="AC634" s="51">
        <f>AC608/AC609</f>
        <v>4.916666666666667</v>
      </c>
      <c r="AD634" s="51">
        <f>AD608/AD609</f>
        <v>29.166666666666668</v>
      </c>
      <c r="AE634" s="51">
        <f>AE608/AE609</f>
        <v>54</v>
      </c>
      <c r="AF634" s="51">
        <f>AF608/AF609</f>
        <v>78.5</v>
      </c>
      <c r="AG634" s="51">
        <f>AG608/AG609</f>
        <v>27.8</v>
      </c>
      <c r="AH634" s="140">
        <f t="shared" si="300"/>
        <v>38.87666666666667</v>
      </c>
      <c r="AI634" s="22" t="s">
        <v>104</v>
      </c>
      <c r="AJ634" s="25"/>
      <c r="AK634" s="44">
        <f>AL634-AP634</f>
        <v>0.3180031864046733</v>
      </c>
      <c r="AL634" s="33">
        <f>AL606/AL633</f>
        <v>1.003717472118959</v>
      </c>
      <c r="AM634" s="33">
        <f>AM606/AM633</f>
        <v>1.1037037037037036</v>
      </c>
      <c r="AN634" s="33">
        <f>AN606/AN633</f>
        <v>1.0801980198019803</v>
      </c>
      <c r="AO634" s="33">
        <f>AO606/AO633</f>
        <v>1.0749711649365628</v>
      </c>
      <c r="AP634" s="33">
        <f>AP606/AP633</f>
        <v>0.6857142857142857</v>
      </c>
      <c r="AQ634" s="140">
        <f>AVERAGE(AL634:AP634)</f>
        <v>0.9896609292550982</v>
      </c>
      <c r="AR634" s="64" t="s">
        <v>54</v>
      </c>
      <c r="AS634" s="60"/>
      <c r="AT634" s="134">
        <f t="shared" si="301"/>
        <v>-5.137501363289346</v>
      </c>
      <c r="AU634" s="72">
        <f>AU608/-AU609</f>
        <v>-26.46698113207547</v>
      </c>
      <c r="AV634" s="72">
        <f>AV608/-AV609</f>
        <v>-28.203296703296704</v>
      </c>
      <c r="AW634" s="72">
        <f>AW608/-AW609</f>
        <v>-27.533783783783782</v>
      </c>
      <c r="AX634" s="72">
        <f>AX608/-AX609</f>
        <v>-27.055944055944057</v>
      </c>
      <c r="AY634" s="72">
        <f>AY608/-AY609</f>
        <v>-21.329479768786126</v>
      </c>
      <c r="AZ634" s="140">
        <f t="shared" si="302"/>
        <v>-26.117897088777227</v>
      </c>
      <c r="BA634" s="139" t="s">
        <v>104</v>
      </c>
      <c r="BC634" s="148">
        <f>BD634-BH634</f>
        <v>0.2242342336461951</v>
      </c>
      <c r="BD634" s="149">
        <f>BD606/BD633</f>
        <v>0.8935269207501513</v>
      </c>
      <c r="BE634" s="149">
        <f>BE606/BE633</f>
        <v>0.7722373904296594</v>
      </c>
      <c r="BF634" s="149">
        <f>BF606/BF633</f>
        <v>0.7787033683448026</v>
      </c>
      <c r="BG634" s="149">
        <f>BG606/BG633</f>
        <v>0.6752178917941128</v>
      </c>
      <c r="BH634" s="149">
        <f>BH606/BH633</f>
        <v>0.6692926871039562</v>
      </c>
      <c r="BI634" s="140">
        <f>AVERAGE(BD634:BH634)</f>
        <v>0.7577956516845363</v>
      </c>
    </row>
    <row r="635" spans="17:61" ht="12">
      <c r="Q635" s="22"/>
      <c r="T635" s="33"/>
      <c r="U635" s="33"/>
      <c r="V635" s="33"/>
      <c r="W635" s="33"/>
      <c r="X635" s="33"/>
      <c r="Y635" s="140"/>
      <c r="Z635" s="22" t="s">
        <v>97</v>
      </c>
      <c r="AB635" s="44">
        <f t="shared" si="299"/>
        <v>2.8317943501056435</v>
      </c>
      <c r="AC635" s="51">
        <f>(AC611/AC604)*100</f>
        <v>9.562563580874874</v>
      </c>
      <c r="AD635" s="51">
        <f>(AD611/AD604)*100</f>
        <v>6.836616454229433</v>
      </c>
      <c r="AE635" s="51">
        <f>(AE611/AE604)*100</f>
        <v>5.196451204055767</v>
      </c>
      <c r="AF635" s="51">
        <f>(AF611/AF604)*100</f>
        <v>4.221635883905013</v>
      </c>
      <c r="AG635" s="51">
        <f>(AG611/AG604)*100</f>
        <v>6.730769230769231</v>
      </c>
      <c r="AH635" s="140">
        <f t="shared" si="300"/>
        <v>6.509607270766864</v>
      </c>
      <c r="AI635" s="22"/>
      <c r="AJ635" s="25"/>
      <c r="AK635" s="25"/>
      <c r="AL635" s="33"/>
      <c r="AM635" s="33"/>
      <c r="AN635" s="33"/>
      <c r="AO635" s="33"/>
      <c r="AP635" s="33"/>
      <c r="AQ635" s="140"/>
      <c r="AR635" s="64" t="s">
        <v>97</v>
      </c>
      <c r="AS635" s="60"/>
      <c r="AT635" s="134">
        <f t="shared" si="301"/>
        <v>9.581353118575384</v>
      </c>
      <c r="AU635" s="72">
        <f>(AU611/AU604)*100</f>
        <v>12.327718223583462</v>
      </c>
      <c r="AV635" s="72">
        <f>(AV611/AV604)*100</f>
        <v>9.984947315604616</v>
      </c>
      <c r="AW635" s="72">
        <f>(AW611/AW604)*100</f>
        <v>9.752120026092628</v>
      </c>
      <c r="AX635" s="72">
        <f>(AX611/AX604)*100</f>
        <v>5.604719764011799</v>
      </c>
      <c r="AY635" s="72">
        <f>(AY611/AY604)*100</f>
        <v>2.7463651050080773</v>
      </c>
      <c r="AZ635" s="140">
        <f t="shared" si="302"/>
        <v>8.083174086860115</v>
      </c>
      <c r="BA635" s="139"/>
      <c r="BD635" s="149"/>
      <c r="BE635" s="149"/>
      <c r="BF635" s="149"/>
      <c r="BG635" s="149"/>
      <c r="BH635" s="149"/>
      <c r="BI635" s="140"/>
    </row>
    <row r="636" spans="17:61" ht="12">
      <c r="Q636" s="22"/>
      <c r="T636" s="48" t="s">
        <v>105</v>
      </c>
      <c r="U636" s="48" t="s">
        <v>105</v>
      </c>
      <c r="V636" s="48" t="s">
        <v>105</v>
      </c>
      <c r="W636" s="48" t="s">
        <v>105</v>
      </c>
      <c r="X636" s="48" t="s">
        <v>105</v>
      </c>
      <c r="Y636" s="141" t="s">
        <v>105</v>
      </c>
      <c r="Z636" s="22" t="s">
        <v>86</v>
      </c>
      <c r="AB636" s="44">
        <f t="shared" si="299"/>
        <v>-17.897208803005906</v>
      </c>
      <c r="AC636" s="51">
        <f>(AC608/AC606)*100</f>
        <v>7.28395061728395</v>
      </c>
      <c r="AD636" s="51">
        <f>(AD608/AD606)*100</f>
        <v>13.049962714392244</v>
      </c>
      <c r="AE636" s="51">
        <f>(AE608/AE606)*100</f>
        <v>14.848762603116409</v>
      </c>
      <c r="AF636" s="51">
        <f>(AF608/AF606)*100</f>
        <v>16.84549356223176</v>
      </c>
      <c r="AG636" s="51">
        <f>(AG608/AG606)*100</f>
        <v>25.181159420289855</v>
      </c>
      <c r="AH636" s="140">
        <f t="shared" si="300"/>
        <v>15.441865783462841</v>
      </c>
      <c r="AI636" s="22"/>
      <c r="AJ636" s="25"/>
      <c r="AK636" s="25"/>
      <c r="AL636" s="48" t="s">
        <v>105</v>
      </c>
      <c r="AM636" s="48" t="s">
        <v>105</v>
      </c>
      <c r="AN636" s="48" t="s">
        <v>105</v>
      </c>
      <c r="AO636" s="48" t="s">
        <v>105</v>
      </c>
      <c r="AP636" s="48" t="s">
        <v>105</v>
      </c>
      <c r="AQ636" s="141" t="s">
        <v>105</v>
      </c>
      <c r="AR636" s="64" t="s">
        <v>86</v>
      </c>
      <c r="AS636" s="60"/>
      <c r="AT636" s="134">
        <f t="shared" si="301"/>
        <v>0.5512189983707856</v>
      </c>
      <c r="AU636" s="72">
        <f>(AU608/AU606)*100</f>
        <v>94.97291807718348</v>
      </c>
      <c r="AV636" s="72">
        <f>(AV608/AV606)*100</f>
        <v>95.51544473390399</v>
      </c>
      <c r="AW636" s="72">
        <f>(AW608/AW606)*100</f>
        <v>94.76744186046511</v>
      </c>
      <c r="AX636" s="72">
        <f>(AX608/AX606)*100</f>
        <v>94.22795908426693</v>
      </c>
      <c r="AY636" s="72">
        <f>(AY608/AY606)*100</f>
        <v>94.4216990788127</v>
      </c>
      <c r="AZ636" s="140">
        <f t="shared" si="302"/>
        <v>94.78109256692645</v>
      </c>
      <c r="BA636" s="139"/>
      <c r="BC636" s="25"/>
      <c r="BD636" s="25"/>
      <c r="BE636" s="25"/>
      <c r="BF636" s="25"/>
      <c r="BG636" s="25"/>
      <c r="BH636" s="25"/>
      <c r="BI636" s="25"/>
    </row>
    <row r="637" spans="17:61" ht="12">
      <c r="Q637" s="22" t="s">
        <v>53</v>
      </c>
      <c r="S637" s="44">
        <f aca="true" t="shared" si="303" ref="S637:S643">T637-X637</f>
        <v>-9.99664423441115</v>
      </c>
      <c r="T637" s="51">
        <f>(T603/T633)*100</f>
        <v>82.94099663711403</v>
      </c>
      <c r="U637" s="51">
        <f>(U603/U633)*100</f>
        <v>117.86380597014924</v>
      </c>
      <c r="V637" s="51">
        <f>(V603/V633)*100</f>
        <v>116.3951120162933</v>
      </c>
      <c r="W637" s="51">
        <f>(W603/W633)*100</f>
        <v>128.38785046728972</v>
      </c>
      <c r="X637" s="51">
        <f>(X603/X633)*100</f>
        <v>92.93764087152518</v>
      </c>
      <c r="Y637" s="140">
        <f aca="true" t="shared" si="304" ref="Y637:Y643">AVERAGE(T637:X637)</f>
        <v>107.7050811924743</v>
      </c>
      <c r="Z637" s="22" t="s">
        <v>23</v>
      </c>
      <c r="AB637" s="44">
        <f t="shared" si="299"/>
        <v>0.127897086165496</v>
      </c>
      <c r="AC637" s="51">
        <f>AC600/AC602</f>
        <v>2.135559921414538</v>
      </c>
      <c r="AD637" s="51">
        <f>AD600/AD602</f>
        <v>2.146987951807229</v>
      </c>
      <c r="AE637" s="51">
        <f>AE600/AE602</f>
        <v>2.1746031746031744</v>
      </c>
      <c r="AF637" s="51">
        <f>AF600/AF602</f>
        <v>1.8275862068965518</v>
      </c>
      <c r="AG637" s="51">
        <f>AG600/AG602</f>
        <v>2.007662835249042</v>
      </c>
      <c r="AH637" s="140">
        <f t="shared" si="300"/>
        <v>2.058480017994107</v>
      </c>
      <c r="AI637" s="22" t="s">
        <v>53</v>
      </c>
      <c r="AJ637" s="25"/>
      <c r="AK637" s="44">
        <f aca="true" t="shared" si="305" ref="AK637:AK643">AL637-AP637</f>
        <v>28.58212688663633</v>
      </c>
      <c r="AL637" s="51">
        <f>(AL603/AL633)*100</f>
        <v>70.69392812887236</v>
      </c>
      <c r="AM637" s="51">
        <f>(AM603/AM633)*100</f>
        <v>63.12757201646091</v>
      </c>
      <c r="AN637" s="51">
        <f>(AN603/AN633)*100</f>
        <v>53.069306930693074</v>
      </c>
      <c r="AO637" s="51">
        <f>(AO603/AO633)*100</f>
        <v>42.56055363321799</v>
      </c>
      <c r="AP637" s="51">
        <f>(AP603/AP633)*100</f>
        <v>42.11180124223603</v>
      </c>
      <c r="AQ637" s="140">
        <f aca="true" t="shared" si="306" ref="AQ637:AQ643">AVERAGE(AL637:AP637)</f>
        <v>54.31263239029607</v>
      </c>
      <c r="AR637" s="64" t="s">
        <v>23</v>
      </c>
      <c r="AS637" s="60"/>
      <c r="AT637" s="134">
        <f t="shared" si="301"/>
        <v>-0.011360808597108973</v>
      </c>
      <c r="AU637" s="72">
        <f>AU600/AU602</f>
        <v>0.8614547253834736</v>
      </c>
      <c r="AV637" s="72">
        <f>AV600/AV602</f>
        <v>0.8333781965006729</v>
      </c>
      <c r="AW637" s="72">
        <f>AW600/AW602</f>
        <v>0.9024579059415522</v>
      </c>
      <c r="AX637" s="72">
        <f>AX600/AX602</f>
        <v>0.8755077173030057</v>
      </c>
      <c r="AY637" s="72">
        <f>AY600/AY602</f>
        <v>0.8728155339805825</v>
      </c>
      <c r="AZ637" s="140">
        <f t="shared" si="302"/>
        <v>0.8691228158218575</v>
      </c>
      <c r="BA637" s="139" t="s">
        <v>53</v>
      </c>
      <c r="BC637" s="148">
        <f aca="true" t="shared" si="307" ref="BC637:BC643">BD637-BH637</f>
        <v>56.05340914871705</v>
      </c>
      <c r="BD637" s="144">
        <f>(BD603/BD633)*100</f>
        <v>163.00665456745313</v>
      </c>
      <c r="BE637" s="144">
        <f>(BE603/BE633)*100</f>
        <v>149.48986923408535</v>
      </c>
      <c r="BF637" s="144">
        <f>(BF603/BF633)*100</f>
        <v>138.06591814559943</v>
      </c>
      <c r="BG637" s="144">
        <f>(BG603/BG633)*100</f>
        <v>114.09307679657952</v>
      </c>
      <c r="BH637" s="144">
        <f>(BH603/BH633)*100</f>
        <v>106.95324541873607</v>
      </c>
      <c r="BI637" s="140">
        <f aca="true" t="shared" si="308" ref="BI637:BI643">AVERAGE(BD637:BH637)</f>
        <v>134.32175283249072</v>
      </c>
    </row>
    <row r="638" spans="17:61" ht="12">
      <c r="Q638" s="22" t="s">
        <v>54</v>
      </c>
      <c r="S638" s="44">
        <f t="shared" si="303"/>
        <v>-88.94590163934427</v>
      </c>
      <c r="T638" s="51">
        <f>T608/T609</f>
        <v>3.7540983606557377</v>
      </c>
      <c r="U638" s="51">
        <f>U608/U609</f>
        <v>5.628571428571429</v>
      </c>
      <c r="V638" s="51">
        <f>V608/V609</f>
        <v>4.942857142857143</v>
      </c>
      <c r="W638" s="51">
        <f>W608/W609</f>
        <v>17.984126984126984</v>
      </c>
      <c r="X638" s="51">
        <f>X608/X609</f>
        <v>92.7</v>
      </c>
      <c r="Y638" s="140">
        <f t="shared" si="304"/>
        <v>25.001930783242262</v>
      </c>
      <c r="Z638" s="22" t="s">
        <v>49</v>
      </c>
      <c r="AB638" s="44">
        <f t="shared" si="299"/>
        <v>-9.761558413570697</v>
      </c>
      <c r="AC638" s="51">
        <f>((AC611-AC609-AC610)/AC629)*100</f>
        <v>4.027261462205701</v>
      </c>
      <c r="AD638" s="51">
        <f>((AD611-AD609-AD610)/AD629)*100</f>
        <v>4.11522633744856</v>
      </c>
      <c r="AE638" s="51">
        <f>((AE608-AE609-AE610)/AE629)*100</f>
        <v>13.663366336633665</v>
      </c>
      <c r="AF638" s="51">
        <f>((AF608-AF609-AF610)/AF629)*100</f>
        <v>15.686274509803921</v>
      </c>
      <c r="AG638" s="51">
        <f>((AG608-AG609-AG610)/AG629)*100</f>
        <v>13.788819875776397</v>
      </c>
      <c r="AH638" s="140">
        <f t="shared" si="300"/>
        <v>10.25618970437365</v>
      </c>
      <c r="AI638" s="22" t="s">
        <v>54</v>
      </c>
      <c r="AJ638" s="25"/>
      <c r="AK638" s="44">
        <f t="shared" si="305"/>
        <v>-22.883333333333333</v>
      </c>
      <c r="AL638" s="51">
        <f>AL608/AL609</f>
        <v>4.916666666666667</v>
      </c>
      <c r="AM638" s="51">
        <f>AM608/AM609</f>
        <v>29.166666666666668</v>
      </c>
      <c r="AN638" s="51">
        <f>AN608/AN609</f>
        <v>54</v>
      </c>
      <c r="AO638" s="51">
        <f>AO608/AO609</f>
        <v>78.5</v>
      </c>
      <c r="AP638" s="51">
        <f>AP608/AP609</f>
        <v>27.8</v>
      </c>
      <c r="AQ638" s="140">
        <f t="shared" si="306"/>
        <v>38.87666666666667</v>
      </c>
      <c r="AR638" s="64" t="s">
        <v>49</v>
      </c>
      <c r="AS638" s="60"/>
      <c r="AT638" s="134">
        <f t="shared" si="301"/>
        <v>-57.37998669065787</v>
      </c>
      <c r="AU638" s="72">
        <f>((AU611-AU609-AU610)/AU629)*100</f>
        <v>1.0889292196007259</v>
      </c>
      <c r="AV638" s="72">
        <f>((AV611-AV609-AV610)/AV629)*100</f>
        <v>0.3161373760597787</v>
      </c>
      <c r="AW638" s="72">
        <f>((AW608-AW609-AW610)/AW629)*100</f>
        <v>68.67077145961608</v>
      </c>
      <c r="AX638" s="72">
        <f>((AX608-AX609-AX610)/AX629)*100</f>
        <v>59.26656799868443</v>
      </c>
      <c r="AY638" s="72">
        <f>((AY608-AY609-AY610)/AY629)*100</f>
        <v>58.4689159102586</v>
      </c>
      <c r="AZ638" s="140">
        <f t="shared" si="302"/>
        <v>37.56226439284392</v>
      </c>
      <c r="BA638" s="139" t="s">
        <v>54</v>
      </c>
      <c r="BC638" s="148">
        <f t="shared" si="307"/>
        <v>5.137501363289346</v>
      </c>
      <c r="BD638" s="144">
        <f>BD608/BD609</f>
        <v>26.46698113207547</v>
      </c>
      <c r="BE638" s="144">
        <f>BE608/BE609</f>
        <v>28.203296703296704</v>
      </c>
      <c r="BF638" s="144">
        <f>BF608/BF609</f>
        <v>27.533783783783782</v>
      </c>
      <c r="BG638" s="144">
        <f>BG608/BG609</f>
        <v>27.055944055944057</v>
      </c>
      <c r="BH638" s="144">
        <f>BH608/BH609</f>
        <v>21.329479768786126</v>
      </c>
      <c r="BI638" s="140">
        <f t="shared" si="308"/>
        <v>26.117897088777227</v>
      </c>
    </row>
    <row r="639" spans="17:61" ht="12">
      <c r="Q639" s="22" t="s">
        <v>97</v>
      </c>
      <c r="S639" s="44">
        <f t="shared" si="303"/>
        <v>-9.224139214314421</v>
      </c>
      <c r="T639" s="51">
        <f>(T611/T604)*100</f>
        <v>2.1150592216582065</v>
      </c>
      <c r="U639" s="51">
        <f>(U611/U604)*100</f>
        <v>22.840034217279726</v>
      </c>
      <c r="V639" s="51">
        <f>(V611/V604)*100</f>
        <v>24.41025641025641</v>
      </c>
      <c r="W639" s="51">
        <f>(W611/W604)*100</f>
        <v>-55.22174535050072</v>
      </c>
      <c r="X639" s="51">
        <f>(X611/X604)*100</f>
        <v>11.339198435972628</v>
      </c>
      <c r="Y639" s="140">
        <f t="shared" si="304"/>
        <v>1.096560586933251</v>
      </c>
      <c r="Z639" s="22" t="s">
        <v>50</v>
      </c>
      <c r="AB639" s="44">
        <f t="shared" si="299"/>
        <v>-16.09634997316157</v>
      </c>
      <c r="AC639" s="51">
        <f>((AC611-AC609-AC610)/AC606)*100</f>
        <v>4.012345679012346</v>
      </c>
      <c r="AD639" s="51">
        <f>((AD611-AD609-AD610)/AD606)*100</f>
        <v>3.728560775540642</v>
      </c>
      <c r="AE639" s="51">
        <f>((AE608-AE609-AE610)/AE606)*100</f>
        <v>12.648945921173235</v>
      </c>
      <c r="AF639" s="51">
        <f>((AF608-AF609-AF610)/AF606)*100</f>
        <v>14.592274678111588</v>
      </c>
      <c r="AG639" s="51">
        <f>((AG608-AG609-AG610)/AG606)*100</f>
        <v>20.108695652173914</v>
      </c>
      <c r="AH639" s="140">
        <f t="shared" si="300"/>
        <v>11.018164541202344</v>
      </c>
      <c r="AI639" s="22" t="s">
        <v>97</v>
      </c>
      <c r="AJ639" s="25"/>
      <c r="AK639" s="44">
        <f t="shared" si="305"/>
        <v>2.8317943501056435</v>
      </c>
      <c r="AL639" s="51">
        <f>(AL611/AL604)*100</f>
        <v>9.562563580874874</v>
      </c>
      <c r="AM639" s="51">
        <f>(AM611/AM604)*100</f>
        <v>6.836616454229433</v>
      </c>
      <c r="AN639" s="51">
        <f>(AN611/AN604)*100</f>
        <v>5.196451204055767</v>
      </c>
      <c r="AO639" s="51">
        <f>(AO611/AO604)*100</f>
        <v>4.221635883905013</v>
      </c>
      <c r="AP639" s="51">
        <f>(AP611/AP604)*100</f>
        <v>6.730769230769231</v>
      </c>
      <c r="AQ639" s="140">
        <f t="shared" si="306"/>
        <v>6.509607270766864</v>
      </c>
      <c r="AR639" s="64" t="s">
        <v>50</v>
      </c>
      <c r="AS639" s="60"/>
      <c r="AT639" s="134">
        <f t="shared" si="301"/>
        <v>-86.14057652341013</v>
      </c>
      <c r="AU639" s="72">
        <f>((AU611-AU609-AU610)/AU606)*100</f>
        <v>1.2186865267433988</v>
      </c>
      <c r="AV639" s="72">
        <f>((AV611-AV609-AV610)/AV606)*100</f>
        <v>0.40937848902121327</v>
      </c>
      <c r="AW639" s="72">
        <f>((AW608-AW609-AW610)/AW606)*100</f>
        <v>88.18604651162791</v>
      </c>
      <c r="AX639" s="72">
        <f>((AX608-AX609-AX610)/AX606)*100</f>
        <v>87.77398928397467</v>
      </c>
      <c r="AY639" s="72">
        <f>((AY608-AY609-AY610)/AY606)*100</f>
        <v>87.35926305015353</v>
      </c>
      <c r="AZ639" s="140">
        <f t="shared" si="302"/>
        <v>52.98947277230415</v>
      </c>
      <c r="BA639" s="139" t="s">
        <v>97</v>
      </c>
      <c r="BC639" s="148">
        <f t="shared" si="307"/>
        <v>9.581353118575384</v>
      </c>
      <c r="BD639" s="144">
        <f>(BD611/BD604)*100</f>
        <v>12.327718223583462</v>
      </c>
      <c r="BE639" s="144">
        <f>(BE611/BE604)*100</f>
        <v>9.984947315604616</v>
      </c>
      <c r="BF639" s="144">
        <f>(BF611/BF604)*100</f>
        <v>9.752120026092628</v>
      </c>
      <c r="BG639" s="144">
        <f>(BG611/BG604)*100</f>
        <v>5.604719764011799</v>
      </c>
      <c r="BH639" s="144">
        <f>(BH611/BH604)*100</f>
        <v>2.7463651050080773</v>
      </c>
      <c r="BI639" s="140">
        <f t="shared" si="308"/>
        <v>8.083174086860115</v>
      </c>
    </row>
    <row r="640" spans="17:61" ht="12">
      <c r="Q640" s="22" t="s">
        <v>86</v>
      </c>
      <c r="S640" s="44">
        <f t="shared" si="303"/>
        <v>-42.11062434607722</v>
      </c>
      <c r="T640" s="51">
        <f>(T608/T606)*100</f>
        <v>6.885147324113048</v>
      </c>
      <c r="U640" s="51">
        <f>(U608/U606)*100</f>
        <v>13.410483321987746</v>
      </c>
      <c r="V640" s="51">
        <f>(V608/V606)*100</f>
        <v>13.34361743154647</v>
      </c>
      <c r="W640" s="51">
        <f>(W608/W606)*100</f>
        <v>50.78440161362617</v>
      </c>
      <c r="X640" s="51">
        <f>(X608/X606)*100</f>
        <v>48.99577167019027</v>
      </c>
      <c r="Y640" s="140">
        <f t="shared" si="304"/>
        <v>26.683884272292744</v>
      </c>
      <c r="AH640" s="137"/>
      <c r="AI640" s="22" t="s">
        <v>86</v>
      </c>
      <c r="AJ640" s="25"/>
      <c r="AK640" s="44">
        <f t="shared" si="305"/>
        <v>-17.897208803005906</v>
      </c>
      <c r="AL640" s="51">
        <f>(AL608/AL606)*100</f>
        <v>7.28395061728395</v>
      </c>
      <c r="AM640" s="51">
        <f>(AM608/AM606)*100</f>
        <v>13.049962714392244</v>
      </c>
      <c r="AN640" s="51">
        <f>(AN608/AN606)*100</f>
        <v>14.848762603116409</v>
      </c>
      <c r="AO640" s="51">
        <f>(AO608/AO606)*100</f>
        <v>16.84549356223176</v>
      </c>
      <c r="AP640" s="51">
        <f>(AP608/AP606)*100</f>
        <v>25.181159420289855</v>
      </c>
      <c r="AQ640" s="140">
        <f t="shared" si="306"/>
        <v>15.441865783462841</v>
      </c>
      <c r="AR640" s="60"/>
      <c r="AS640" s="60"/>
      <c r="AT640" s="60"/>
      <c r="AU640" s="60"/>
      <c r="AV640" s="60"/>
      <c r="AW640" s="60"/>
      <c r="AX640" s="60"/>
      <c r="AY640" s="60"/>
      <c r="AZ640" s="137"/>
      <c r="BA640" s="139" t="s">
        <v>86</v>
      </c>
      <c r="BC640" s="148">
        <f t="shared" si="307"/>
        <v>0.5512189983707856</v>
      </c>
      <c r="BD640" s="144">
        <f>(BD608/BD606)*100</f>
        <v>94.97291807718348</v>
      </c>
      <c r="BE640" s="144">
        <f>(BE608/BE606)*100</f>
        <v>95.51544473390399</v>
      </c>
      <c r="BF640" s="144">
        <f>(BF608/BF606)*100</f>
        <v>94.76744186046511</v>
      </c>
      <c r="BG640" s="144">
        <f>(BG608/BG606)*100</f>
        <v>94.22795908426693</v>
      </c>
      <c r="BH640" s="144">
        <f>(BH608/BH606)*100</f>
        <v>94.4216990788127</v>
      </c>
      <c r="BI640" s="140">
        <f t="shared" si="308"/>
        <v>94.78109256692645</v>
      </c>
    </row>
    <row r="641" spans="17:61" ht="12">
      <c r="Q641" s="22" t="s">
        <v>23</v>
      </c>
      <c r="S641" s="44">
        <f t="shared" si="303"/>
        <v>0.4095456811222673</v>
      </c>
      <c r="T641" s="51">
        <f>T600/T602</f>
        <v>1.9740618101545253</v>
      </c>
      <c r="U641" s="51">
        <f>U600/U602</f>
        <v>1.430956968529223</v>
      </c>
      <c r="V641" s="51">
        <f>V600/V602</f>
        <v>1.4627209838585704</v>
      </c>
      <c r="W641" s="51">
        <f>W600/W602</f>
        <v>1.3540790580319597</v>
      </c>
      <c r="X641" s="51">
        <f>X600/X602</f>
        <v>1.564516129032258</v>
      </c>
      <c r="Y641" s="140">
        <f t="shared" si="304"/>
        <v>1.5572669899213072</v>
      </c>
      <c r="AH641" s="137"/>
      <c r="AI641" s="22" t="s">
        <v>23</v>
      </c>
      <c r="AJ641" s="25"/>
      <c r="AK641" s="44">
        <f t="shared" si="305"/>
        <v>0.127897086165496</v>
      </c>
      <c r="AL641" s="51">
        <f>AL600/AL602</f>
        <v>2.135559921414538</v>
      </c>
      <c r="AM641" s="51">
        <f>AM600/AM602</f>
        <v>2.146987951807229</v>
      </c>
      <c r="AN641" s="51">
        <f>AN600/AN602</f>
        <v>2.1746031746031744</v>
      </c>
      <c r="AO641" s="51">
        <f>AO600/AO602</f>
        <v>1.8275862068965518</v>
      </c>
      <c r="AP641" s="51">
        <f>AP600/AP602</f>
        <v>2.007662835249042</v>
      </c>
      <c r="AQ641" s="140">
        <f t="shared" si="306"/>
        <v>2.058480017994107</v>
      </c>
      <c r="AR641" s="60"/>
      <c r="AS641" s="60"/>
      <c r="AT641" s="60"/>
      <c r="AU641" s="60"/>
      <c r="AV641" s="60"/>
      <c r="AW641" s="60"/>
      <c r="AX641" s="60"/>
      <c r="AY641" s="60"/>
      <c r="AZ641" s="137"/>
      <c r="BA641" s="139" t="s">
        <v>23</v>
      </c>
      <c r="BC641" s="148">
        <f t="shared" si="307"/>
        <v>-0.011360808597108973</v>
      </c>
      <c r="BD641" s="144">
        <f>BD600/BD602</f>
        <v>0.8614547253834736</v>
      </c>
      <c r="BE641" s="144">
        <f>BE600/BE602</f>
        <v>0.8333781965006729</v>
      </c>
      <c r="BF641" s="144">
        <f>BF600/BF602</f>
        <v>0.9024579059415522</v>
      </c>
      <c r="BG641" s="144">
        <f>BG600/BG602</f>
        <v>0.8755077173030057</v>
      </c>
      <c r="BH641" s="144">
        <f>BH600/BH602</f>
        <v>0.8728155339805825</v>
      </c>
      <c r="BI641" s="140">
        <f t="shared" si="308"/>
        <v>0.8691228158218575</v>
      </c>
    </row>
    <row r="642" spans="17:61" ht="12">
      <c r="Q642" s="22" t="s">
        <v>49</v>
      </c>
      <c r="S642" s="44">
        <f t="shared" si="303"/>
        <v>-1.769138487002209</v>
      </c>
      <c r="T642" s="51">
        <f>((T611+T609+T610)/T633)*100</f>
        <v>10.852950168144298</v>
      </c>
      <c r="U642" s="51">
        <f>((U611+U609+U610)/U633)*100</f>
        <v>22.294776119402986</v>
      </c>
      <c r="V642" s="51">
        <f>((V611+V609+V610)/V633)*100</f>
        <v>20.061099796334013</v>
      </c>
      <c r="W642" s="51">
        <f>((W611+W609+W610)/W633)*100</f>
        <v>-31.775700934579437</v>
      </c>
      <c r="X642" s="51">
        <f>((X611+X609+X610)/X633)*100</f>
        <v>12.622088655146507</v>
      </c>
      <c r="Y642" s="140">
        <f t="shared" si="304"/>
        <v>6.811042760889674</v>
      </c>
      <c r="AH642" s="137"/>
      <c r="AI642" s="22" t="s">
        <v>49</v>
      </c>
      <c r="AJ642" s="25"/>
      <c r="AK642" s="44">
        <f t="shared" si="305"/>
        <v>-1.9443995474381772</v>
      </c>
      <c r="AL642" s="51">
        <f>((AL611+AL609+AL610)/AL633)*100</f>
        <v>7.6208178438661704</v>
      </c>
      <c r="AM642" s="51">
        <f>((AM611+AM609+AM610)/AM633)*100</f>
        <v>5.596707818930041</v>
      </c>
      <c r="AN642" s="51">
        <f>((AN611+AN609+AN610)/AN633)*100</f>
        <v>6.435643564356436</v>
      </c>
      <c r="AO642" s="51">
        <f>((AO611+AO609+AO610)/AO633)*100</f>
        <v>6.113033448673587</v>
      </c>
      <c r="AP642" s="51">
        <f>((AP611+AP609+AP610)/AP633)*100</f>
        <v>9.565217391304348</v>
      </c>
      <c r="AQ642" s="140">
        <f t="shared" si="306"/>
        <v>7.066284013426116</v>
      </c>
      <c r="AR642" s="60"/>
      <c r="AS642" s="60"/>
      <c r="AT642" s="60"/>
      <c r="AU642" s="60"/>
      <c r="AV642" s="60"/>
      <c r="AW642" s="60"/>
      <c r="AX642" s="60"/>
      <c r="AY642" s="60"/>
      <c r="AZ642" s="137"/>
      <c r="BA642" s="139" t="s">
        <v>49</v>
      </c>
      <c r="BC642" s="148">
        <f t="shared" si="307"/>
        <v>7.047159891448982</v>
      </c>
      <c r="BD642" s="144">
        <f>((BD611+BD609+BD610)/BD633)*100</f>
        <v>13.520871143375683</v>
      </c>
      <c r="BE642" s="144">
        <f>((BE611+BE609+BE610)/BE633)*100</f>
        <v>11.122287685012214</v>
      </c>
      <c r="BF642" s="144">
        <f>((BF611+BF609+BF610)/BF633)*100</f>
        <v>10.539659543643607</v>
      </c>
      <c r="BG642" s="144">
        <f>((BG611+BG609+BG610)/BG633)*100</f>
        <v>8.10721920736721</v>
      </c>
      <c r="BH642" s="144">
        <f>((BH611+BH609+BH610)/BH633)*100</f>
        <v>6.473711251926701</v>
      </c>
      <c r="BI642" s="140">
        <f t="shared" si="308"/>
        <v>9.952749766265082</v>
      </c>
    </row>
    <row r="643" spans="17:61" ht="12">
      <c r="Q643" s="22" t="s">
        <v>50</v>
      </c>
      <c r="S643" s="44">
        <f t="shared" si="303"/>
        <v>1.793989059228398</v>
      </c>
      <c r="T643" s="51">
        <f>((T611+T609+T610)/T606)*100</f>
        <v>10.673481659651232</v>
      </c>
      <c r="U643" s="51">
        <f>((U611+U609+U610)/U606)*100</f>
        <v>16.269571136827775</v>
      </c>
      <c r="V643" s="51">
        <f>((V611+V609+V610)/V606)*100</f>
        <v>15.1947551099113</v>
      </c>
      <c r="W643" s="51">
        <f>((W611+W609+W610)/W606)*100</f>
        <v>-24.383684446436575</v>
      </c>
      <c r="X643" s="51">
        <f>((X611+X609+X610)/X606)*100</f>
        <v>8.879492600422834</v>
      </c>
      <c r="Y643" s="140">
        <f t="shared" si="304"/>
        <v>5.326723212075313</v>
      </c>
      <c r="AH643" s="137"/>
      <c r="AI643" s="22" t="s">
        <v>50</v>
      </c>
      <c r="AJ643" s="25"/>
      <c r="AK643" s="44">
        <f t="shared" si="305"/>
        <v>-6.356682769726249</v>
      </c>
      <c r="AL643" s="51">
        <f>((AL611+AL609+AL610)/AL606)*100</f>
        <v>7.592592592592593</v>
      </c>
      <c r="AM643" s="51">
        <f>((AM611+AM609+AM610)/AM606)*100</f>
        <v>5.070842654735272</v>
      </c>
      <c r="AN643" s="51">
        <f>((AN611+AN609+AN610)/AN606)*100</f>
        <v>5.957836846929423</v>
      </c>
      <c r="AO643" s="51">
        <f>((AO611+AO609+AO610)/AO606)*100</f>
        <v>5.686695278969957</v>
      </c>
      <c r="AP643" s="51">
        <f>((AP611+AP609+AP610)/AP606)*100</f>
        <v>13.949275362318842</v>
      </c>
      <c r="AQ643" s="140">
        <f t="shared" si="306"/>
        <v>7.651448547109217</v>
      </c>
      <c r="AR643" s="60"/>
      <c r="AS643" s="60"/>
      <c r="AT643" s="60"/>
      <c r="AU643" s="60"/>
      <c r="AV643" s="60"/>
      <c r="AW643" s="60"/>
      <c r="AX643" s="60"/>
      <c r="AY643" s="60"/>
      <c r="AZ643" s="137"/>
      <c r="BA643" s="139" t="s">
        <v>50</v>
      </c>
      <c r="BC643" s="148">
        <f t="shared" si="307"/>
        <v>5.45955763882777</v>
      </c>
      <c r="BD643" s="144">
        <f>((BD611+BD609+BD610)/BD606)*100</f>
        <v>15.132024373730534</v>
      </c>
      <c r="BE643" s="144">
        <f>((BE611+BE609+BE610)/BE606)*100</f>
        <v>14.402679568291777</v>
      </c>
      <c r="BF643" s="144">
        <f>((BF611+BF609+BF610)/BF606)*100</f>
        <v>13.534883720930232</v>
      </c>
      <c r="BG643" s="144">
        <f>((BG611+BG609+BG610)/BG606)*100</f>
        <v>12.006819288845593</v>
      </c>
      <c r="BH643" s="144">
        <f>((BH611+BH609+BH610)/BH606)*100</f>
        <v>9.672466734902764</v>
      </c>
      <c r="BI643" s="140">
        <f t="shared" si="308"/>
        <v>12.949774737340181</v>
      </c>
    </row>
    <row r="644" spans="34:61" ht="12">
      <c r="AH644" s="137"/>
      <c r="AI644" s="25"/>
      <c r="AJ644" s="25"/>
      <c r="AK644" s="25"/>
      <c r="AL644" s="25"/>
      <c r="AM644" s="25"/>
      <c r="AN644" s="25"/>
      <c r="AO644" s="25"/>
      <c r="AP644" s="25"/>
      <c r="AR644" s="60"/>
      <c r="AS644" s="60"/>
      <c r="AT644" s="60"/>
      <c r="AU644" s="60"/>
      <c r="AV644" s="60"/>
      <c r="AW644" s="60"/>
      <c r="AX644" s="60"/>
      <c r="AY644" s="60"/>
      <c r="AZ644" s="137"/>
      <c r="BA644" s="139"/>
      <c r="BC644" s="148"/>
      <c r="BD644" s="144"/>
      <c r="BE644" s="144"/>
      <c r="BF644" s="144"/>
      <c r="BG644" s="144"/>
      <c r="BH644" s="144"/>
      <c r="BI644" s="140"/>
    </row>
    <row r="645" spans="35:52" ht="12">
      <c r="AI645" s="25"/>
      <c r="AJ645" s="25"/>
      <c r="AK645" s="25"/>
      <c r="AL645" s="25"/>
      <c r="AM645" s="25"/>
      <c r="AN645" s="25"/>
      <c r="AO645" s="25"/>
      <c r="AP645" s="25"/>
      <c r="AR645" s="60"/>
      <c r="AS645" s="60"/>
      <c r="AT645" s="60"/>
      <c r="AU645" s="60"/>
      <c r="AV645" s="60"/>
      <c r="AW645" s="60"/>
      <c r="AX645" s="60"/>
      <c r="AY645" s="60"/>
      <c r="AZ645" s="137"/>
    </row>
    <row r="646" spans="35:52" ht="12">
      <c r="AI646" s="25"/>
      <c r="AJ646" s="25"/>
      <c r="AK646" s="25"/>
      <c r="AL646" s="25"/>
      <c r="AM646" s="25"/>
      <c r="AN646" s="25"/>
      <c r="AO646" s="25"/>
      <c r="AP646" s="25"/>
      <c r="AR646" s="60"/>
      <c r="AS646" s="60"/>
      <c r="AT646" s="60"/>
      <c r="AU646" s="60"/>
      <c r="AV646" s="60"/>
      <c r="AW646" s="60"/>
      <c r="AX646" s="60"/>
      <c r="AY646" s="60"/>
      <c r="AZ646" s="137"/>
    </row>
    <row r="647" spans="35:52" ht="12">
      <c r="AI647" s="25"/>
      <c r="AJ647" s="25"/>
      <c r="AK647" s="25"/>
      <c r="AL647" s="25"/>
      <c r="AM647" s="25"/>
      <c r="AN647" s="25"/>
      <c r="AO647" s="25"/>
      <c r="AP647" s="25"/>
      <c r="AR647" s="60"/>
      <c r="AS647" s="60"/>
      <c r="AT647" s="60"/>
      <c r="AU647" s="60"/>
      <c r="AV647" s="60"/>
      <c r="AW647" s="60"/>
      <c r="AX647" s="60"/>
      <c r="AY647" s="60"/>
      <c r="AZ647" s="137"/>
    </row>
    <row r="648" spans="21:57" ht="12">
      <c r="U648" s="145" t="s">
        <v>231</v>
      </c>
      <c r="AI648" s="25"/>
      <c r="AJ648" s="25"/>
      <c r="AK648" s="25"/>
      <c r="AL648" s="25"/>
      <c r="AM648" s="145" t="s">
        <v>242</v>
      </c>
      <c r="AN648" s="25"/>
      <c r="AO648" s="25"/>
      <c r="AP648" s="25"/>
      <c r="AR648" s="60"/>
      <c r="AS648" s="60"/>
      <c r="AT648" s="60"/>
      <c r="AU648" s="60"/>
      <c r="AV648" s="60"/>
      <c r="AW648" s="60"/>
      <c r="AX648" s="60"/>
      <c r="AY648" s="60"/>
      <c r="BE648" s="151" t="s">
        <v>253</v>
      </c>
    </row>
  </sheetData>
  <mergeCells count="2">
    <mergeCell ref="Z84:AB84"/>
    <mergeCell ref="AI82:AK82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3"/>
  <sheetViews>
    <sheetView workbookViewId="0" topLeftCell="A156">
      <selection activeCell="A154" sqref="A154:K193"/>
    </sheetView>
  </sheetViews>
  <sheetFormatPr defaultColWidth="9.140625" defaultRowHeight="12.75"/>
  <cols>
    <col min="1" max="1" width="21.57421875" style="154" customWidth="1"/>
    <col min="2" max="2" width="8.00390625" style="154" customWidth="1"/>
    <col min="3" max="3" width="8.28125" style="154" customWidth="1"/>
    <col min="4" max="4" width="8.7109375" style="154" customWidth="1"/>
    <col min="5" max="5" width="7.7109375" style="154" customWidth="1"/>
    <col min="6" max="6" width="8.421875" style="154" customWidth="1"/>
    <col min="7" max="7" width="8.00390625" style="154" customWidth="1"/>
    <col min="8" max="8" width="7.00390625" style="154" customWidth="1"/>
    <col min="9" max="9" width="9.8515625" style="154" bestFit="1" customWidth="1"/>
    <col min="10" max="10" width="8.28125" style="154" customWidth="1"/>
    <col min="11" max="11" width="8.8515625" style="154" customWidth="1"/>
    <col min="12" max="12" width="8.7109375" style="154" customWidth="1"/>
    <col min="13" max="16384" width="9.140625" style="154" customWidth="1"/>
  </cols>
  <sheetData>
    <row r="1" spans="1:14" ht="12.75" customHeight="1">
      <c r="A1" s="161"/>
      <c r="B1" s="162"/>
      <c r="C1" s="162"/>
      <c r="D1" s="162"/>
      <c r="E1" s="163" t="s">
        <v>168</v>
      </c>
      <c r="F1" s="162"/>
      <c r="G1" s="162"/>
      <c r="H1" s="162"/>
      <c r="I1" s="162"/>
      <c r="J1" s="162"/>
      <c r="K1" s="162"/>
      <c r="L1" s="162"/>
      <c r="M1" s="162"/>
      <c r="N1" s="164"/>
    </row>
    <row r="2" spans="1:27" s="155" customFormat="1" ht="63" customHeight="1">
      <c r="A2" s="165" t="s">
        <v>260</v>
      </c>
      <c r="B2" s="166" t="s">
        <v>174</v>
      </c>
      <c r="C2" s="166" t="s">
        <v>175</v>
      </c>
      <c r="D2" s="166" t="s">
        <v>177</v>
      </c>
      <c r="E2" s="166" t="s">
        <v>178</v>
      </c>
      <c r="F2" s="166" t="s">
        <v>179</v>
      </c>
      <c r="G2" s="166" t="s">
        <v>262</v>
      </c>
      <c r="H2" s="166" t="s">
        <v>184</v>
      </c>
      <c r="I2" s="166" t="s">
        <v>185</v>
      </c>
      <c r="J2" s="166" t="s">
        <v>186</v>
      </c>
      <c r="K2" s="166" t="s">
        <v>188</v>
      </c>
      <c r="L2" s="166" t="s">
        <v>189</v>
      </c>
      <c r="M2" s="167" t="s">
        <v>263</v>
      </c>
      <c r="N2" s="167" t="s">
        <v>264</v>
      </c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17" ht="11.25" customHeight="1">
      <c r="A3" s="168" t="s">
        <v>26</v>
      </c>
      <c r="B3" s="169">
        <v>1399.5</v>
      </c>
      <c r="C3" s="169">
        <v>843.06</v>
      </c>
      <c r="D3" s="169">
        <v>2771</v>
      </c>
      <c r="E3" s="169">
        <v>445</v>
      </c>
      <c r="F3" s="169">
        <v>1910</v>
      </c>
      <c r="G3" s="169">
        <v>268</v>
      </c>
      <c r="H3" s="169">
        <v>2104</v>
      </c>
      <c r="I3" s="169">
        <v>434</v>
      </c>
      <c r="J3" s="169">
        <v>1483</v>
      </c>
      <c r="K3" s="169">
        <v>404</v>
      </c>
      <c r="L3" s="169">
        <v>2122</v>
      </c>
      <c r="M3" s="169">
        <f>COUNTIF(B3:L3,"&gt;0")</f>
        <v>11</v>
      </c>
      <c r="N3" s="169">
        <f>COUNTIF(B3:L3,"&lt;0")</f>
        <v>0</v>
      </c>
      <c r="O3" s="157"/>
      <c r="P3" s="157"/>
      <c r="Q3" s="157"/>
    </row>
    <row r="4" spans="1:17" ht="12" customHeight="1">
      <c r="A4" s="168" t="s">
        <v>93</v>
      </c>
      <c r="B4" s="169">
        <v>1732.7</v>
      </c>
      <c r="C4" s="169">
        <v>2045.98</v>
      </c>
      <c r="D4" s="169">
        <v>8746</v>
      </c>
      <c r="E4" s="169">
        <v>21336</v>
      </c>
      <c r="F4" s="169">
        <v>5054</v>
      </c>
      <c r="G4" s="169">
        <v>15109</v>
      </c>
      <c r="H4" s="169">
        <v>3376</v>
      </c>
      <c r="I4" s="169">
        <v>1951</v>
      </c>
      <c r="J4" s="169">
        <v>-5098</v>
      </c>
      <c r="K4" s="169">
        <v>7306</v>
      </c>
      <c r="L4" s="169">
        <v>2822</v>
      </c>
      <c r="M4" s="169">
        <f>COUNTIF(B4:L4,"&gt;0")</f>
        <v>10</v>
      </c>
      <c r="N4" s="169">
        <f>COUNTIF(B4:L4,"&lt;0")</f>
        <v>1</v>
      </c>
      <c r="O4" s="157"/>
      <c r="P4" s="157"/>
      <c r="Q4" s="157"/>
    </row>
    <row r="5" spans="1:17" ht="12" customHeight="1">
      <c r="A5" s="168" t="s">
        <v>72</v>
      </c>
      <c r="B5" s="169">
        <v>650.1</v>
      </c>
      <c r="C5" s="169">
        <v>300.78</v>
      </c>
      <c r="D5" s="169">
        <v>3594</v>
      </c>
      <c r="E5" s="169">
        <v>4351</v>
      </c>
      <c r="F5" s="169">
        <v>586</v>
      </c>
      <c r="G5" s="169">
        <v>2758</v>
      </c>
      <c r="H5" s="169">
        <v>3450</v>
      </c>
      <c r="I5" s="169">
        <v>9698</v>
      </c>
      <c r="J5" s="169">
        <v>-686</v>
      </c>
      <c r="K5" s="169">
        <v>652</v>
      </c>
      <c r="L5" s="169">
        <v>882</v>
      </c>
      <c r="M5" s="169">
        <f>COUNTIF(B5:L5,"&gt;0")</f>
        <v>10</v>
      </c>
      <c r="N5" s="169">
        <f>COUNTIF(B5:L5,"&lt;0")</f>
        <v>1</v>
      </c>
      <c r="O5" s="157"/>
      <c r="P5" s="157"/>
      <c r="Q5" s="157"/>
    </row>
    <row r="6" spans="1:17" ht="11.25" customHeight="1">
      <c r="A6" s="168" t="s">
        <v>35</v>
      </c>
      <c r="B6" s="169">
        <v>886.1</v>
      </c>
      <c r="C6" s="169">
        <v>445.83</v>
      </c>
      <c r="D6" s="169">
        <v>2556</v>
      </c>
      <c r="E6" s="169">
        <v>5417</v>
      </c>
      <c r="F6" s="169">
        <v>-124</v>
      </c>
      <c r="G6" s="169">
        <v>8617</v>
      </c>
      <c r="H6" s="169">
        <v>2581</v>
      </c>
      <c r="I6" s="169">
        <v>14027</v>
      </c>
      <c r="J6" s="169">
        <v>-9587</v>
      </c>
      <c r="K6" s="169">
        <v>2423</v>
      </c>
      <c r="L6" s="169">
        <v>1476</v>
      </c>
      <c r="M6" s="169">
        <f>COUNTIF(B6:L6,"&gt;0")</f>
        <v>9</v>
      </c>
      <c r="N6" s="169">
        <f>COUNTIF(B6:L6,"&lt;0")</f>
        <v>2</v>
      </c>
      <c r="O6" s="157"/>
      <c r="P6" s="157"/>
      <c r="Q6" s="157"/>
    </row>
    <row r="7" spans="1:17" ht="12" customHeight="1">
      <c r="A7" s="168" t="s">
        <v>100</v>
      </c>
      <c r="B7" s="169">
        <v>846.6</v>
      </c>
      <c r="C7" s="169">
        <v>733.6</v>
      </c>
      <c r="D7" s="169">
        <v>6190</v>
      </c>
      <c r="E7" s="169">
        <v>15919</v>
      </c>
      <c r="F7" s="169">
        <v>5177</v>
      </c>
      <c r="G7" s="169">
        <v>6492</v>
      </c>
      <c r="H7" s="169">
        <v>795</v>
      </c>
      <c r="I7" s="169">
        <v>-12076</v>
      </c>
      <c r="J7" s="169">
        <v>-14486</v>
      </c>
      <c r="K7" s="169">
        <v>4835</v>
      </c>
      <c r="L7" s="169">
        <v>1341</v>
      </c>
      <c r="M7" s="169">
        <f>COUNTIF(B7:L7,"&gt;0")</f>
        <v>9</v>
      </c>
      <c r="N7" s="169">
        <f>COUNTIF(B7:L7,"&lt;0")</f>
        <v>2</v>
      </c>
      <c r="O7" s="157"/>
      <c r="P7" s="157"/>
      <c r="Q7" s="157"/>
    </row>
    <row r="8" spans="1:17" ht="4.5" customHeigh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57"/>
      <c r="P8" s="157"/>
      <c r="Q8" s="157"/>
    </row>
    <row r="9" spans="1:17" ht="12.75" customHeight="1">
      <c r="A9" s="168" t="s">
        <v>261</v>
      </c>
      <c r="B9" s="169">
        <v>4119.5</v>
      </c>
      <c r="C9" s="169">
        <v>2865.61</v>
      </c>
      <c r="D9" s="169">
        <v>22080</v>
      </c>
      <c r="E9" s="169">
        <v>20840</v>
      </c>
      <c r="F9" s="169">
        <v>6180</v>
      </c>
      <c r="G9" s="169">
        <v>11535</v>
      </c>
      <c r="H9" s="169">
        <v>9093</v>
      </c>
      <c r="I9" s="169">
        <v>15917</v>
      </c>
      <c r="J9" s="169">
        <v>3305</v>
      </c>
      <c r="K9" s="169">
        <v>2069</v>
      </c>
      <c r="L9" s="169">
        <v>1434</v>
      </c>
      <c r="M9" s="169">
        <f aca="true" t="shared" si="0" ref="M9:M14">COUNTIF(B9:L9,"&gt;0")</f>
        <v>11</v>
      </c>
      <c r="N9" s="169">
        <f aca="true" t="shared" si="1" ref="N9:N14">COUNTIF(B9:L9,"&lt;0")</f>
        <v>0</v>
      </c>
      <c r="O9" s="157"/>
      <c r="P9" s="157"/>
      <c r="Q9" s="157"/>
    </row>
    <row r="10" spans="1:17" ht="12" customHeight="1">
      <c r="A10" s="168" t="s">
        <v>74</v>
      </c>
      <c r="B10" s="169">
        <v>3977.2</v>
      </c>
      <c r="C10" s="169">
        <v>2736.42</v>
      </c>
      <c r="D10" s="169">
        <v>13901</v>
      </c>
      <c r="E10" s="169">
        <v>22471</v>
      </c>
      <c r="F10" s="169">
        <v>3848</v>
      </c>
      <c r="G10" s="169">
        <v>6942</v>
      </c>
      <c r="H10" s="169">
        <v>6481</v>
      </c>
      <c r="I10" s="169">
        <v>11355</v>
      </c>
      <c r="J10" s="169">
        <v>1938</v>
      </c>
      <c r="K10" s="169">
        <v>1066</v>
      </c>
      <c r="L10" s="169">
        <v>2132</v>
      </c>
      <c r="M10" s="169">
        <f t="shared" si="0"/>
        <v>11</v>
      </c>
      <c r="N10" s="169">
        <f t="shared" si="1"/>
        <v>0</v>
      </c>
      <c r="O10" s="157"/>
      <c r="P10" s="157"/>
      <c r="Q10" s="157"/>
    </row>
    <row r="11" spans="1:17" ht="10.5" customHeight="1">
      <c r="A11" s="168" t="s">
        <v>259</v>
      </c>
      <c r="B11" s="169">
        <v>142.29999999999927</v>
      </c>
      <c r="C11" s="169">
        <v>129.1900000000005</v>
      </c>
      <c r="D11" s="169">
        <v>8179</v>
      </c>
      <c r="E11" s="169">
        <v>-1631</v>
      </c>
      <c r="F11" s="169">
        <v>2332</v>
      </c>
      <c r="G11" s="169">
        <v>4593</v>
      </c>
      <c r="H11" s="169">
        <v>2612</v>
      </c>
      <c r="I11" s="169">
        <v>4562</v>
      </c>
      <c r="J11" s="169">
        <v>1367</v>
      </c>
      <c r="K11" s="169">
        <v>1003</v>
      </c>
      <c r="L11" s="169">
        <v>-698</v>
      </c>
      <c r="M11" s="169">
        <f t="shared" si="0"/>
        <v>9</v>
      </c>
      <c r="N11" s="169">
        <f t="shared" si="1"/>
        <v>2</v>
      </c>
      <c r="O11" s="157"/>
      <c r="P11" s="157"/>
      <c r="Q11" s="157"/>
    </row>
    <row r="12" spans="1:17" ht="11.25" customHeight="1">
      <c r="A12" s="168" t="s">
        <v>82</v>
      </c>
      <c r="B12" s="169">
        <v>14.1</v>
      </c>
      <c r="C12" s="169">
        <v>-0.0039999999999995595</v>
      </c>
      <c r="D12" s="169">
        <v>58</v>
      </c>
      <c r="E12" s="169">
        <v>-781</v>
      </c>
      <c r="F12" s="169">
        <v>70</v>
      </c>
      <c r="G12" s="169">
        <v>265</v>
      </c>
      <c r="H12" s="169">
        <v>30</v>
      </c>
      <c r="I12" s="169">
        <v>0</v>
      </c>
      <c r="J12" s="169">
        <v>205</v>
      </c>
      <c r="K12" s="169">
        <v>72</v>
      </c>
      <c r="L12" s="169">
        <v>51</v>
      </c>
      <c r="M12" s="169">
        <f t="shared" si="0"/>
        <v>8</v>
      </c>
      <c r="N12" s="169">
        <f t="shared" si="1"/>
        <v>2</v>
      </c>
      <c r="O12" s="157"/>
      <c r="P12" s="157"/>
      <c r="Q12" s="157"/>
    </row>
    <row r="13" spans="1:17" ht="10.5" customHeight="1">
      <c r="A13" s="168" t="s">
        <v>83</v>
      </c>
      <c r="B13" s="169">
        <v>28</v>
      </c>
      <c r="C13" s="169">
        <v>49.34</v>
      </c>
      <c r="D13" s="169">
        <v>970</v>
      </c>
      <c r="E13" s="169">
        <v>1077</v>
      </c>
      <c r="F13" s="169">
        <v>957</v>
      </c>
      <c r="G13" s="169">
        <v>438</v>
      </c>
      <c r="H13" s="169">
        <v>1445</v>
      </c>
      <c r="I13" s="169">
        <v>1979</v>
      </c>
      <c r="J13" s="169">
        <v>-35</v>
      </c>
      <c r="K13" s="169">
        <v>-13</v>
      </c>
      <c r="L13" s="169">
        <v>202</v>
      </c>
      <c r="M13" s="169">
        <f t="shared" si="0"/>
        <v>9</v>
      </c>
      <c r="N13" s="169">
        <f t="shared" si="1"/>
        <v>2</v>
      </c>
      <c r="O13" s="157"/>
      <c r="P13" s="157"/>
      <c r="Q13" s="157"/>
    </row>
    <row r="14" spans="1:17" ht="13.5" customHeight="1">
      <c r="A14" s="168" t="s">
        <v>98</v>
      </c>
      <c r="B14" s="169">
        <v>99.9</v>
      </c>
      <c r="C14" s="169">
        <v>87.19</v>
      </c>
      <c r="D14" s="169">
        <v>1133</v>
      </c>
      <c r="E14" s="169">
        <v>2118</v>
      </c>
      <c r="F14" s="169">
        <v>2650</v>
      </c>
      <c r="G14" s="169">
        <v>177</v>
      </c>
      <c r="H14" s="169">
        <v>2303</v>
      </c>
      <c r="I14" s="169">
        <v>4770</v>
      </c>
      <c r="J14" s="169">
        <v>-4931</v>
      </c>
      <c r="K14" s="169">
        <v>199</v>
      </c>
      <c r="L14" s="169">
        <v>-66</v>
      </c>
      <c r="M14" s="169">
        <f t="shared" si="0"/>
        <v>9</v>
      </c>
      <c r="N14" s="169">
        <f t="shared" si="1"/>
        <v>2</v>
      </c>
      <c r="O14" s="157"/>
      <c r="P14" s="157"/>
      <c r="Q14" s="157"/>
    </row>
    <row r="15" spans="1:17" ht="4.5" customHeight="1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57"/>
      <c r="P15" s="157"/>
      <c r="Q15" s="157"/>
    </row>
    <row r="16" spans="1:28" ht="9.75" customHeight="1">
      <c r="A16" s="168" t="s">
        <v>257</v>
      </c>
      <c r="B16" s="170">
        <v>0.99</v>
      </c>
      <c r="C16" s="170">
        <v>-0.34</v>
      </c>
      <c r="D16" s="170">
        <v>1.44</v>
      </c>
      <c r="E16" s="170">
        <v>0.64</v>
      </c>
      <c r="F16" s="170">
        <v>2.17</v>
      </c>
      <c r="G16" s="170">
        <v>-2.31</v>
      </c>
      <c r="H16" s="170">
        <v>2.81</v>
      </c>
      <c r="I16" s="170">
        <v>0.49</v>
      </c>
      <c r="J16" s="170">
        <v>-21.14</v>
      </c>
      <c r="K16" s="170">
        <v>-0.27999999999999936</v>
      </c>
      <c r="L16" s="170">
        <v>-0.98</v>
      </c>
      <c r="M16" s="169">
        <f>COUNTIF(B16:L16,"&gt;0")</f>
        <v>6</v>
      </c>
      <c r="N16" s="169">
        <f>COUNTIF(B16:L16,"&lt;0")</f>
        <v>5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1:28" ht="11.25">
      <c r="A17" s="168" t="s">
        <v>258</v>
      </c>
      <c r="B17" s="170">
        <v>0.9</v>
      </c>
      <c r="C17" s="170">
        <v>-0.34</v>
      </c>
      <c r="D17" s="170">
        <v>1.43</v>
      </c>
      <c r="E17" s="170">
        <v>0.63</v>
      </c>
      <c r="F17" s="170">
        <v>2.13</v>
      </c>
      <c r="G17" s="170">
        <v>-2.31</v>
      </c>
      <c r="H17" s="170">
        <v>2.79</v>
      </c>
      <c r="I17" s="170">
        <v>0.5</v>
      </c>
      <c r="J17" s="170">
        <v>-21.14</v>
      </c>
      <c r="K17" s="170">
        <v>-0.25</v>
      </c>
      <c r="L17" s="170">
        <v>-0.98</v>
      </c>
      <c r="M17" s="169">
        <f>COUNTIF(B17:L17,"&gt;0")</f>
        <v>6</v>
      </c>
      <c r="N17" s="169">
        <f>COUNTIF(B17:L17,"&lt;0")</f>
        <v>5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</row>
    <row r="18" spans="1:17" ht="6" customHeight="1">
      <c r="A18" s="168"/>
      <c r="B18" s="169"/>
      <c r="C18" s="169"/>
      <c r="D18" s="169"/>
      <c r="E18" s="169"/>
      <c r="F18" s="169"/>
      <c r="G18" s="169" t="s">
        <v>17</v>
      </c>
      <c r="H18" s="169" t="s">
        <v>17</v>
      </c>
      <c r="I18" s="169" t="s">
        <v>17</v>
      </c>
      <c r="J18" s="169" t="s">
        <v>17</v>
      </c>
      <c r="K18" s="169" t="s">
        <v>17</v>
      </c>
      <c r="L18" s="169" t="s">
        <v>17</v>
      </c>
      <c r="M18" s="169"/>
      <c r="N18" s="169"/>
      <c r="O18" s="157"/>
      <c r="P18" s="157"/>
      <c r="Q18" s="157"/>
    </row>
    <row r="19" spans="1:17" ht="11.25" customHeight="1">
      <c r="A19" s="168" t="s">
        <v>283</v>
      </c>
      <c r="B19" s="169">
        <v>57</v>
      </c>
      <c r="C19" s="169">
        <v>164</v>
      </c>
      <c r="D19" s="169">
        <v>0</v>
      </c>
      <c r="E19" s="169">
        <v>4316</v>
      </c>
      <c r="F19" s="169">
        <v>650</v>
      </c>
      <c r="G19" s="169">
        <v>9215</v>
      </c>
      <c r="H19" s="169">
        <v>2705</v>
      </c>
      <c r="I19" s="169">
        <v>2736</v>
      </c>
      <c r="J19" s="169">
        <v>-1865</v>
      </c>
      <c r="K19" s="169">
        <v>2242</v>
      </c>
      <c r="L19" s="169">
        <v>64</v>
      </c>
      <c r="M19" s="169">
        <f>COUNTIF(B19:L19,"&gt;0")</f>
        <v>9</v>
      </c>
      <c r="N19" s="169">
        <f>COUNTIF(B19:L19,"&lt;0")</f>
        <v>1</v>
      </c>
      <c r="O19" s="157"/>
      <c r="P19" s="157"/>
      <c r="Q19" s="157"/>
    </row>
    <row r="20" spans="1:17" ht="11.25" customHeight="1">
      <c r="A20" s="168" t="s">
        <v>284</v>
      </c>
      <c r="B20" s="169">
        <v>225</v>
      </c>
      <c r="C20" s="169">
        <v>21</v>
      </c>
      <c r="D20" s="169">
        <v>5505</v>
      </c>
      <c r="E20" s="169">
        <v>8598</v>
      </c>
      <c r="F20" s="169">
        <v>2263</v>
      </c>
      <c r="G20" s="169">
        <v>5528</v>
      </c>
      <c r="H20" s="169">
        <v>742</v>
      </c>
      <c r="I20" s="169">
        <v>776</v>
      </c>
      <c r="J20" s="169">
        <v>-3551</v>
      </c>
      <c r="K20" s="169">
        <v>1041</v>
      </c>
      <c r="L20" s="169">
        <v>3350</v>
      </c>
      <c r="M20" s="169">
        <f>COUNTIF(B20:L20,"&gt;0")</f>
        <v>10</v>
      </c>
      <c r="N20" s="169">
        <f>COUNTIF(B20:L20,"&lt;0")</f>
        <v>1</v>
      </c>
      <c r="O20" s="157"/>
      <c r="P20" s="157"/>
      <c r="Q20" s="157"/>
    </row>
    <row r="21" spans="1:17" ht="6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57"/>
      <c r="P21" s="157"/>
      <c r="Q21" s="157"/>
    </row>
    <row r="22" spans="1:17" ht="9" customHeight="1">
      <c r="A22" s="168" t="s">
        <v>304</v>
      </c>
      <c r="B22" s="169">
        <v>100.5</v>
      </c>
      <c r="C22" s="169">
        <v>62.77</v>
      </c>
      <c r="D22" s="169">
        <v>2137</v>
      </c>
      <c r="E22" s="169">
        <v>2007</v>
      </c>
      <c r="F22" s="169">
        <v>1452</v>
      </c>
      <c r="G22" s="169">
        <v>2482</v>
      </c>
      <c r="H22" s="169">
        <v>831</v>
      </c>
      <c r="I22" s="169">
        <v>-105</v>
      </c>
      <c r="J22" s="169">
        <v>768</v>
      </c>
      <c r="K22" s="169">
        <v>588</v>
      </c>
      <c r="L22" s="169">
        <v>340</v>
      </c>
      <c r="M22" s="169">
        <f>COUNTIF(B22:L22,"&gt;0")</f>
        <v>10</v>
      </c>
      <c r="N22" s="169">
        <f>COUNTIF(B22:L22,"&lt;0")</f>
        <v>1</v>
      </c>
      <c r="O22" s="157"/>
      <c r="P22" s="157"/>
      <c r="Q22" s="157"/>
    </row>
    <row r="23" spans="1:17" ht="9" customHeight="1">
      <c r="A23" s="168" t="s">
        <v>302</v>
      </c>
      <c r="B23" s="169">
        <v>-297.2</v>
      </c>
      <c r="C23" s="169">
        <v>24.96</v>
      </c>
      <c r="D23" s="169">
        <v>83</v>
      </c>
      <c r="E23" s="169">
        <v>-8816</v>
      </c>
      <c r="F23" s="169">
        <v>1194</v>
      </c>
      <c r="G23" s="169">
        <v>1952</v>
      </c>
      <c r="H23" s="169">
        <v>256</v>
      </c>
      <c r="I23" s="169">
        <v>18848</v>
      </c>
      <c r="J23" s="169">
        <v>748</v>
      </c>
      <c r="K23" s="169">
        <v>1276</v>
      </c>
      <c r="L23" s="169">
        <v>-463</v>
      </c>
      <c r="M23" s="169">
        <f>COUNTIF(B23:L23,"&gt;0")</f>
        <v>8</v>
      </c>
      <c r="N23" s="169">
        <f>COUNTIF(B23:L23,"&lt;0")</f>
        <v>3</v>
      </c>
      <c r="O23" s="157"/>
      <c r="P23" s="157"/>
      <c r="Q23" s="157"/>
    </row>
    <row r="24" spans="1:17" ht="9" customHeight="1">
      <c r="A24" s="168" t="s">
        <v>305</v>
      </c>
      <c r="B24" s="169">
        <v>213.6</v>
      </c>
      <c r="C24" s="169">
        <v>113.02</v>
      </c>
      <c r="D24" s="169">
        <v>-2808</v>
      </c>
      <c r="E24" s="169">
        <v>8778</v>
      </c>
      <c r="F24" s="169">
        <v>-4681</v>
      </c>
      <c r="G24" s="169">
        <v>-2638</v>
      </c>
      <c r="H24" s="169">
        <v>-1717</v>
      </c>
      <c r="I24" s="169">
        <v>-15990</v>
      </c>
      <c r="J24" s="169">
        <v>-1189</v>
      </c>
      <c r="K24" s="169">
        <v>891</v>
      </c>
      <c r="L24" s="169">
        <v>672</v>
      </c>
      <c r="M24" s="169">
        <f>COUNTIF(B24:L24,"&gt;0")</f>
        <v>5</v>
      </c>
      <c r="N24" s="169">
        <f>COUNTIF(B24:L24,"&lt;0")</f>
        <v>6</v>
      </c>
      <c r="O24" s="157"/>
      <c r="P24" s="157"/>
      <c r="Q24" s="157"/>
    </row>
    <row r="25" spans="1:17" ht="11.25" customHeight="1">
      <c r="A25" s="168" t="s">
        <v>64</v>
      </c>
      <c r="B25" s="169">
        <v>222.7</v>
      </c>
      <c r="C25" s="169">
        <v>385.6</v>
      </c>
      <c r="D25" s="169">
        <v>63</v>
      </c>
      <c r="E25" s="169">
        <v>1797</v>
      </c>
      <c r="F25" s="169">
        <v>1806</v>
      </c>
      <c r="G25" s="169">
        <v>495</v>
      </c>
      <c r="H25" s="169">
        <v>-797</v>
      </c>
      <c r="I25" s="169">
        <v>3698</v>
      </c>
      <c r="J25" s="169">
        <v>294</v>
      </c>
      <c r="K25" s="169">
        <v>123</v>
      </c>
      <c r="L25" s="169">
        <v>966</v>
      </c>
      <c r="M25" s="169">
        <f>COUNTIF(B25:L25,"&gt;0")</f>
        <v>10</v>
      </c>
      <c r="N25" s="169">
        <f>COUNTIF(B25:L25,"&lt;0")</f>
        <v>1</v>
      </c>
      <c r="O25" s="157"/>
      <c r="P25" s="157"/>
      <c r="Q25" s="157"/>
    </row>
    <row r="26" spans="1:17" ht="7.5" customHeight="1">
      <c r="A26" s="171"/>
      <c r="B26" s="169"/>
      <c r="C26" s="169"/>
      <c r="D26" s="169"/>
      <c r="E26" s="169"/>
      <c r="F26" s="169"/>
      <c r="G26" s="169"/>
      <c r="H26" s="169"/>
      <c r="I26" s="171"/>
      <c r="J26" s="171"/>
      <c r="K26" s="171"/>
      <c r="L26" s="171"/>
      <c r="M26" s="169"/>
      <c r="N26" s="169"/>
      <c r="O26" s="157"/>
      <c r="P26" s="157"/>
      <c r="Q26" s="157"/>
    </row>
    <row r="27" spans="1:17" ht="12" customHeight="1">
      <c r="A27" s="168" t="s">
        <v>102</v>
      </c>
      <c r="B27" s="169">
        <v>1082.6</v>
      </c>
      <c r="C27" s="169">
        <v>1745.2</v>
      </c>
      <c r="D27" s="169">
        <v>5152</v>
      </c>
      <c r="E27" s="169">
        <v>16985</v>
      </c>
      <c r="F27" s="169">
        <v>4468</v>
      </c>
      <c r="G27" s="169">
        <v>12351</v>
      </c>
      <c r="H27" s="169">
        <v>-74</v>
      </c>
      <c r="I27" s="169">
        <v>-7747</v>
      </c>
      <c r="J27" s="169">
        <v>-4412</v>
      </c>
      <c r="K27" s="169">
        <v>6654</v>
      </c>
      <c r="L27" s="169">
        <v>1940</v>
      </c>
      <c r="M27" s="169">
        <f>COUNTIF(B27:L27,"&gt;0")</f>
        <v>8</v>
      </c>
      <c r="N27" s="169">
        <f>COUNTIF(B27:L27,"&lt;0")</f>
        <v>3</v>
      </c>
      <c r="O27" s="157"/>
      <c r="P27" s="157"/>
      <c r="Q27" s="157"/>
    </row>
    <row r="28" spans="1:17" ht="11.25">
      <c r="A28" s="168" t="s">
        <v>104</v>
      </c>
      <c r="B28" s="170">
        <v>-1.4823956279032027</v>
      </c>
      <c r="C28" s="170">
        <v>-2.109466742569416</v>
      </c>
      <c r="D28" s="170">
        <v>0.4931728734347087</v>
      </c>
      <c r="E28" s="170">
        <v>0.08080298349742382</v>
      </c>
      <c r="F28" s="170">
        <v>0.11475822677755276</v>
      </c>
      <c r="G28" s="170">
        <v>-0.2609418440892184</v>
      </c>
      <c r="H28" s="170">
        <v>0.4408315111725436</v>
      </c>
      <c r="I28" s="170">
        <v>0.422425423754929</v>
      </c>
      <c r="J28" s="170">
        <v>0.4803580491409457</v>
      </c>
      <c r="K28" s="170">
        <v>-0.6028647817061206</v>
      </c>
      <c r="L28" s="170">
        <v>-0.40467317346781506</v>
      </c>
      <c r="M28" s="169">
        <f>COUNTIF(B28:L28,"&gt;0")</f>
        <v>6</v>
      </c>
      <c r="N28" s="169">
        <f>COUNTIF(B28:L28,"&lt;0")</f>
        <v>5</v>
      </c>
      <c r="O28" s="157"/>
      <c r="P28" s="157"/>
      <c r="Q28" s="157"/>
    </row>
    <row r="29" spans="1:17" ht="5.25" customHeight="1">
      <c r="A29" s="171"/>
      <c r="B29" s="169"/>
      <c r="C29" s="169"/>
      <c r="D29" s="169"/>
      <c r="E29" s="169"/>
      <c r="F29" s="169"/>
      <c r="G29" s="171"/>
      <c r="H29" s="171"/>
      <c r="I29" s="171"/>
      <c r="J29" s="171"/>
      <c r="K29" s="171"/>
      <c r="L29" s="171"/>
      <c r="M29" s="169"/>
      <c r="N29" s="169"/>
      <c r="O29" s="157"/>
      <c r="P29" s="157"/>
      <c r="Q29" s="157"/>
    </row>
    <row r="30" spans="1:30" ht="10.5" customHeight="1">
      <c r="A30" s="168" t="s">
        <v>53</v>
      </c>
      <c r="B30" s="170">
        <v>-35.56066737910699</v>
      </c>
      <c r="C30" s="170">
        <v>-52.0522321445346</v>
      </c>
      <c r="D30" s="170">
        <v>-8.107455123831556</v>
      </c>
      <c r="E30" s="170">
        <v>-7.026071304895808</v>
      </c>
      <c r="F30" s="170">
        <v>-11.387744481213133</v>
      </c>
      <c r="G30" s="170">
        <v>-5.483919356678783</v>
      </c>
      <c r="H30" s="170">
        <v>12.722586286080897</v>
      </c>
      <c r="I30" s="170">
        <v>34.374604902759984</v>
      </c>
      <c r="J30" s="170">
        <v>-29.12626099918289</v>
      </c>
      <c r="K30" s="170">
        <v>-46.759967809155704</v>
      </c>
      <c r="L30" s="170">
        <v>-9.99664423441115</v>
      </c>
      <c r="M30" s="169">
        <f aca="true" t="shared" si="2" ref="M30:M36">COUNTIF(B30:L30,"&gt;0")</f>
        <v>2</v>
      </c>
      <c r="N30" s="169">
        <f aca="true" t="shared" si="3" ref="N30:N36">COUNTIF(B30:L30,"&lt;0")</f>
        <v>9</v>
      </c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</row>
    <row r="31" spans="1:30" ht="11.25" customHeight="1">
      <c r="A31" s="168" t="s">
        <v>54</v>
      </c>
      <c r="B31" s="170">
        <v>-22.34367366878367</v>
      </c>
      <c r="C31" s="170">
        <v>17.25</v>
      </c>
      <c r="D31" s="170">
        <v>11.756009427574352</v>
      </c>
      <c r="E31" s="170">
        <v>0.9</v>
      </c>
      <c r="F31" s="170">
        <v>4.47</v>
      </c>
      <c r="G31" s="170">
        <v>-0.49</v>
      </c>
      <c r="H31" s="170">
        <v>5.9</v>
      </c>
      <c r="I31" s="170">
        <v>0</v>
      </c>
      <c r="J31" s="170">
        <v>2.04</v>
      </c>
      <c r="K31" s="170">
        <v>-0.264</v>
      </c>
      <c r="L31" s="170">
        <v>-88.95</v>
      </c>
      <c r="M31" s="169">
        <f t="shared" si="2"/>
        <v>6</v>
      </c>
      <c r="N31" s="169">
        <f t="shared" si="3"/>
        <v>4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</row>
    <row r="32" spans="1:30" ht="11.25" customHeight="1">
      <c r="A32" s="168" t="s">
        <v>97</v>
      </c>
      <c r="B32" s="170">
        <v>-3.282068035337206</v>
      </c>
      <c r="C32" s="170">
        <v>-2.0725746590019885</v>
      </c>
      <c r="D32" s="170">
        <v>0.3120521958118019</v>
      </c>
      <c r="E32" s="170">
        <v>0.2619735311085236</v>
      </c>
      <c r="F32" s="170">
        <v>14.230987753632565</v>
      </c>
      <c r="G32" s="170">
        <v>-6.076661945547238</v>
      </c>
      <c r="H32" s="170">
        <v>23.895027146661135</v>
      </c>
      <c r="I32" s="170">
        <v>16.411985984772286</v>
      </c>
      <c r="J32" s="170">
        <v>188.07499150021965</v>
      </c>
      <c r="K32" s="170">
        <v>-10.290996926978899</v>
      </c>
      <c r="L32" s="170">
        <v>-9.224139214314421</v>
      </c>
      <c r="M32" s="169">
        <f t="shared" si="2"/>
        <v>6</v>
      </c>
      <c r="N32" s="169">
        <f t="shared" si="3"/>
        <v>5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</row>
    <row r="33" spans="1:30" ht="9.75" customHeight="1">
      <c r="A33" s="168" t="s">
        <v>86</v>
      </c>
      <c r="B33" s="170">
        <v>-0.206216229161297</v>
      </c>
      <c r="C33" s="170">
        <v>0.27981048596996416</v>
      </c>
      <c r="D33" s="170">
        <v>1.9303089896841712</v>
      </c>
      <c r="E33" s="170">
        <v>-7.121115681012737</v>
      </c>
      <c r="F33" s="170">
        <v>6.876614858445992</v>
      </c>
      <c r="G33" s="170">
        <v>-0.09449004454793197</v>
      </c>
      <c r="H33" s="170">
        <v>2.2636485954474566</v>
      </c>
      <c r="I33" s="170">
        <v>-4.790407405486938</v>
      </c>
      <c r="J33" s="170">
        <v>9.7781365226204</v>
      </c>
      <c r="K33" s="170">
        <v>4.401392433051576</v>
      </c>
      <c r="L33" s="170">
        <v>-42.11062434607722</v>
      </c>
      <c r="M33" s="169">
        <f t="shared" si="2"/>
        <v>6</v>
      </c>
      <c r="N33" s="169">
        <f t="shared" si="3"/>
        <v>5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</row>
    <row r="34" spans="1:30" ht="10.5" customHeight="1">
      <c r="A34" s="168" t="s">
        <v>23</v>
      </c>
      <c r="B34" s="170">
        <v>0.285603517903642</v>
      </c>
      <c r="C34" s="170">
        <v>0.4293386940117869</v>
      </c>
      <c r="D34" s="170">
        <v>-0.2636292689107127</v>
      </c>
      <c r="E34" s="170">
        <v>-0.09283834788541301</v>
      </c>
      <c r="F34" s="170">
        <v>0.49702719530193085</v>
      </c>
      <c r="G34" s="170">
        <v>-0.8195057208122065</v>
      </c>
      <c r="H34" s="170">
        <v>-0.3117931854149978</v>
      </c>
      <c r="I34" s="170">
        <v>-1.6278243762410103</v>
      </c>
      <c r="J34" s="170">
        <v>0.3289446961302155</v>
      </c>
      <c r="K34" s="170">
        <v>-0.10811846689895466</v>
      </c>
      <c r="L34" s="170">
        <v>0.4095456811222673</v>
      </c>
      <c r="M34" s="169">
        <f t="shared" si="2"/>
        <v>5</v>
      </c>
      <c r="N34" s="169">
        <f t="shared" si="3"/>
        <v>6</v>
      </c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</row>
    <row r="35" spans="1:30" ht="9.75" customHeight="1">
      <c r="A35" s="168" t="s">
        <v>49</v>
      </c>
      <c r="B35" s="170">
        <v>-2.5694088604240086</v>
      </c>
      <c r="C35" s="170">
        <v>-7.203194922185178</v>
      </c>
      <c r="D35" s="170">
        <v>5.412198436025237</v>
      </c>
      <c r="E35" s="170">
        <v>0.857449293594378</v>
      </c>
      <c r="F35" s="170">
        <v>12.678263448450336</v>
      </c>
      <c r="G35" s="170">
        <v>-2.4745077816006074</v>
      </c>
      <c r="H35" s="170">
        <v>18.14798624991391</v>
      </c>
      <c r="I35" s="170">
        <v>17.757508302326613</v>
      </c>
      <c r="J35" s="170">
        <v>-44.01934599003826</v>
      </c>
      <c r="K35" s="170">
        <v>-4.438243171358584</v>
      </c>
      <c r="L35" s="170">
        <v>-1.769138487002209</v>
      </c>
      <c r="M35" s="169">
        <f t="shared" si="2"/>
        <v>5</v>
      </c>
      <c r="N35" s="169">
        <f t="shared" si="3"/>
        <v>6</v>
      </c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</row>
    <row r="36" spans="1:30" ht="9.75" customHeight="1">
      <c r="A36" s="168" t="s">
        <v>50</v>
      </c>
      <c r="B36" s="170">
        <v>0.2358995317246353</v>
      </c>
      <c r="C36" s="170">
        <v>0.3457748687569633</v>
      </c>
      <c r="D36" s="170">
        <v>0.6234212403936521</v>
      </c>
      <c r="E36" s="170">
        <v>-0.3547472979877089</v>
      </c>
      <c r="F36" s="170">
        <v>13.640850345602301</v>
      </c>
      <c r="G36" s="170">
        <v>-0.27285833555838845</v>
      </c>
      <c r="H36" s="170">
        <v>12.826692138048095</v>
      </c>
      <c r="I36" s="170">
        <v>0.6514793059908399</v>
      </c>
      <c r="J36" s="170">
        <v>-35.51336555820861</v>
      </c>
      <c r="K36" s="170">
        <v>1.3392222818285955</v>
      </c>
      <c r="L36" s="170">
        <v>1.793989059228398</v>
      </c>
      <c r="M36" s="169">
        <f t="shared" si="2"/>
        <v>8</v>
      </c>
      <c r="N36" s="169">
        <f t="shared" si="3"/>
        <v>3</v>
      </c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</row>
    <row r="37" spans="1:30" ht="9.75" customHeight="1">
      <c r="A37" s="182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79"/>
      <c r="N37" s="179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</row>
    <row r="38" spans="2:17" ht="11.25"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</row>
    <row r="39" spans="2:17" ht="11.25">
      <c r="B39" s="157"/>
      <c r="C39" s="157"/>
      <c r="D39" s="157"/>
      <c r="E39" s="157"/>
      <c r="F39" s="157"/>
      <c r="G39" s="159" t="s">
        <v>265</v>
      </c>
      <c r="H39" s="157"/>
      <c r="M39" s="157"/>
      <c r="N39" s="157"/>
      <c r="O39" s="157"/>
      <c r="P39" s="157"/>
      <c r="Q39" s="157"/>
    </row>
    <row r="40" spans="1:17" ht="23.25" customHeight="1">
      <c r="A40" s="161"/>
      <c r="B40" s="162"/>
      <c r="C40" s="162"/>
      <c r="D40" s="162"/>
      <c r="E40" s="163" t="s">
        <v>192</v>
      </c>
      <c r="F40" s="162"/>
      <c r="G40" s="162"/>
      <c r="H40" s="162"/>
      <c r="I40" s="162"/>
      <c r="J40" s="162"/>
      <c r="K40" s="162"/>
      <c r="L40" s="162"/>
      <c r="M40" s="162"/>
      <c r="N40" s="164"/>
      <c r="O40" s="157"/>
      <c r="P40" s="157"/>
      <c r="Q40" s="157"/>
    </row>
    <row r="41" spans="1:17" ht="66" customHeight="1">
      <c r="A41" s="165" t="s">
        <v>260</v>
      </c>
      <c r="B41" s="166" t="s">
        <v>193</v>
      </c>
      <c r="C41" s="166" t="s">
        <v>194</v>
      </c>
      <c r="D41" s="166" t="s">
        <v>268</v>
      </c>
      <c r="E41" s="166" t="s">
        <v>269</v>
      </c>
      <c r="F41" s="166" t="s">
        <v>270</v>
      </c>
      <c r="G41" s="166" t="s">
        <v>271</v>
      </c>
      <c r="H41" s="166" t="s">
        <v>272</v>
      </c>
      <c r="I41" s="166" t="s">
        <v>201</v>
      </c>
      <c r="J41" s="166" t="s">
        <v>273</v>
      </c>
      <c r="K41" s="166" t="s">
        <v>202</v>
      </c>
      <c r="L41" s="166" t="s">
        <v>274</v>
      </c>
      <c r="M41" s="167" t="s">
        <v>263</v>
      </c>
      <c r="N41" s="167" t="s">
        <v>264</v>
      </c>
      <c r="O41" s="157"/>
      <c r="P41" s="157"/>
      <c r="Q41" s="157"/>
    </row>
    <row r="42" spans="1:17" ht="11.25">
      <c r="A42" s="168" t="s">
        <v>26</v>
      </c>
      <c r="B42" s="169">
        <v>1890</v>
      </c>
      <c r="C42" s="169">
        <v>728</v>
      </c>
      <c r="D42" s="169">
        <v>2362</v>
      </c>
      <c r="E42" s="169">
        <v>404</v>
      </c>
      <c r="F42" s="169">
        <v>1036</v>
      </c>
      <c r="G42" s="169">
        <v>622</v>
      </c>
      <c r="H42" s="169">
        <v>62</v>
      </c>
      <c r="I42" s="169">
        <v>2678</v>
      </c>
      <c r="J42" s="169">
        <v>-5238</v>
      </c>
      <c r="K42" s="169">
        <v>74</v>
      </c>
      <c r="L42" s="169">
        <v>1126</v>
      </c>
      <c r="M42" s="169">
        <f>COUNTIF(B42:L42,"&gt;0")</f>
        <v>10</v>
      </c>
      <c r="N42" s="169">
        <f>COUNTIF(B42:L42,"&lt;0")</f>
        <v>1</v>
      </c>
      <c r="O42" s="157"/>
      <c r="P42" s="157"/>
      <c r="Q42" s="157"/>
    </row>
    <row r="43" spans="1:17" ht="11.25">
      <c r="A43" s="168" t="s">
        <v>93</v>
      </c>
      <c r="B43" s="169">
        <v>136692</v>
      </c>
      <c r="C43" s="169">
        <v>11070</v>
      </c>
      <c r="D43" s="169">
        <v>4010</v>
      </c>
      <c r="E43" s="169">
        <v>1026</v>
      </c>
      <c r="F43" s="169">
        <v>2232</v>
      </c>
      <c r="G43" s="169">
        <v>-2716</v>
      </c>
      <c r="H43" s="169">
        <v>3736</v>
      </c>
      <c r="I43" s="169">
        <v>1126</v>
      </c>
      <c r="J43" s="169">
        <v>-3964</v>
      </c>
      <c r="K43" s="169">
        <v>-6</v>
      </c>
      <c r="L43" s="169">
        <v>2114</v>
      </c>
      <c r="M43" s="169">
        <f>COUNTIF(B43:L43,"&gt;0")</f>
        <v>8</v>
      </c>
      <c r="N43" s="169">
        <f>COUNTIF(B43:L43,"&lt;0")</f>
        <v>3</v>
      </c>
      <c r="O43" s="157"/>
      <c r="P43" s="157"/>
      <c r="Q43" s="157"/>
    </row>
    <row r="44" spans="1:17" ht="11.25">
      <c r="A44" s="168" t="s">
        <v>72</v>
      </c>
      <c r="B44" s="169">
        <v>24446</v>
      </c>
      <c r="C44" s="169">
        <v>2384</v>
      </c>
      <c r="D44" s="169">
        <v>958</v>
      </c>
      <c r="E44" s="169">
        <v>546</v>
      </c>
      <c r="F44" s="169">
        <v>1330</v>
      </c>
      <c r="G44" s="169">
        <v>-2674</v>
      </c>
      <c r="H44" s="169">
        <v>-438</v>
      </c>
      <c r="I44" s="169">
        <v>180</v>
      </c>
      <c r="J44" s="169">
        <v>532</v>
      </c>
      <c r="K44" s="169">
        <v>12</v>
      </c>
      <c r="L44" s="169">
        <v>496</v>
      </c>
      <c r="M44" s="169">
        <f>COUNTIF(B44:L44,"&gt;0")</f>
        <v>9</v>
      </c>
      <c r="N44" s="169">
        <f>COUNTIF(B44:L44,"&lt;0")</f>
        <v>2</v>
      </c>
      <c r="O44" s="157"/>
      <c r="P44" s="157"/>
      <c r="Q44" s="157"/>
    </row>
    <row r="45" spans="1:17" ht="11.25">
      <c r="A45" s="168" t="s">
        <v>35</v>
      </c>
      <c r="B45" s="169">
        <v>130270</v>
      </c>
      <c r="C45" s="169">
        <v>6260</v>
      </c>
      <c r="D45" s="169">
        <v>2506</v>
      </c>
      <c r="E45" s="169">
        <v>1044</v>
      </c>
      <c r="F45" s="169">
        <v>1812</v>
      </c>
      <c r="G45" s="169">
        <v>-2756</v>
      </c>
      <c r="H45" s="169">
        <v>1276</v>
      </c>
      <c r="I45" s="169">
        <v>1042</v>
      </c>
      <c r="J45" s="169">
        <v>-114</v>
      </c>
      <c r="K45" s="169">
        <v>-8</v>
      </c>
      <c r="L45" s="169">
        <v>1604</v>
      </c>
      <c r="M45" s="169">
        <f>COUNTIF(B45:L45,"&gt;0")</f>
        <v>8</v>
      </c>
      <c r="N45" s="169">
        <f>COUNTIF(B45:L45,"&lt;0")</f>
        <v>3</v>
      </c>
      <c r="O45" s="157"/>
      <c r="P45" s="157"/>
      <c r="Q45" s="157"/>
    </row>
    <row r="46" spans="1:17" ht="11.25">
      <c r="A46" s="168" t="s">
        <v>100</v>
      </c>
      <c r="B46" s="169">
        <v>4004</v>
      </c>
      <c r="C46" s="169">
        <v>5086</v>
      </c>
      <c r="D46" s="169">
        <v>1606</v>
      </c>
      <c r="E46" s="169">
        <v>18</v>
      </c>
      <c r="F46" s="169">
        <v>422</v>
      </c>
      <c r="G46" s="169">
        <v>-1038</v>
      </c>
      <c r="H46" s="169">
        <v>2762</v>
      </c>
      <c r="I46" s="169">
        <v>4096</v>
      </c>
      <c r="J46" s="169">
        <v>-3300</v>
      </c>
      <c r="K46" s="169">
        <v>4</v>
      </c>
      <c r="L46" s="169">
        <v>510</v>
      </c>
      <c r="M46" s="169">
        <f>COUNTIF(B46:L46,"&gt;0")</f>
        <v>9</v>
      </c>
      <c r="N46" s="169">
        <f>COUNTIF(B46:L46,"&lt;0")</f>
        <v>2</v>
      </c>
      <c r="O46" s="157"/>
      <c r="P46" s="157"/>
      <c r="Q46" s="157"/>
    </row>
    <row r="47" spans="1:14" ht="5.25" customHeigh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1.25">
      <c r="A48" s="168" t="s">
        <v>261</v>
      </c>
      <c r="B48" s="169">
        <v>912</v>
      </c>
      <c r="C48" s="169">
        <v>16331.6</v>
      </c>
      <c r="D48" s="169">
        <v>-2088</v>
      </c>
      <c r="E48" s="169">
        <v>1682</v>
      </c>
      <c r="F48" s="169">
        <v>3786</v>
      </c>
      <c r="G48" s="169">
        <v>-700</v>
      </c>
      <c r="H48" s="169">
        <v>-1580</v>
      </c>
      <c r="I48" s="169">
        <v>-448</v>
      </c>
      <c r="J48" s="169">
        <v>-674</v>
      </c>
      <c r="K48" s="169">
        <v>106</v>
      </c>
      <c r="L48" s="169">
        <v>2136</v>
      </c>
      <c r="M48" s="169">
        <f aca="true" t="shared" si="4" ref="M48:M56">COUNTIF(B48:L48,"&gt;0")</f>
        <v>6</v>
      </c>
      <c r="N48" s="169">
        <f aca="true" t="shared" si="5" ref="N48:N56">COUNTIF(B48:L48,"&lt;0")</f>
        <v>5</v>
      </c>
    </row>
    <row r="49" spans="1:14" ht="11.25">
      <c r="A49" s="168" t="s">
        <v>74</v>
      </c>
      <c r="B49" s="169">
        <v>308</v>
      </c>
      <c r="C49" s="169">
        <v>18000</v>
      </c>
      <c r="D49" s="169">
        <v>-3450</v>
      </c>
      <c r="E49" s="169">
        <v>1184</v>
      </c>
      <c r="F49" s="169">
        <v>2458</v>
      </c>
      <c r="G49" s="169">
        <v>-568</v>
      </c>
      <c r="H49" s="169">
        <v>-1196</v>
      </c>
      <c r="I49" s="169">
        <v>-100</v>
      </c>
      <c r="J49" s="169">
        <v>-1702</v>
      </c>
      <c r="K49" s="169">
        <v>76</v>
      </c>
      <c r="L49" s="169">
        <v>2178</v>
      </c>
      <c r="M49" s="169">
        <f t="shared" si="4"/>
        <v>6</v>
      </c>
      <c r="N49" s="169">
        <f t="shared" si="5"/>
        <v>5</v>
      </c>
    </row>
    <row r="50" spans="1:14" ht="11.25">
      <c r="A50" s="168" t="s">
        <v>259</v>
      </c>
      <c r="B50" s="169">
        <v>604</v>
      </c>
      <c r="C50" s="169">
        <v>-1668.4</v>
      </c>
      <c r="D50" s="169">
        <v>1362</v>
      </c>
      <c r="E50" s="169">
        <v>498</v>
      </c>
      <c r="F50" s="169">
        <v>1328</v>
      </c>
      <c r="G50" s="169">
        <v>-132</v>
      </c>
      <c r="H50" s="169">
        <v>-384</v>
      </c>
      <c r="I50" s="169">
        <v>-348</v>
      </c>
      <c r="J50" s="169">
        <v>1028</v>
      </c>
      <c r="K50" s="169">
        <v>30</v>
      </c>
      <c r="L50" s="169">
        <v>-42</v>
      </c>
      <c r="M50" s="169">
        <f t="shared" si="4"/>
        <v>6</v>
      </c>
      <c r="N50" s="169">
        <f t="shared" si="5"/>
        <v>5</v>
      </c>
    </row>
    <row r="51" spans="1:14" ht="11.25">
      <c r="A51" s="168" t="s">
        <v>82</v>
      </c>
      <c r="B51" s="169">
        <v>6012</v>
      </c>
      <c r="C51" s="169">
        <v>176</v>
      </c>
      <c r="D51" s="169">
        <v>-2</v>
      </c>
      <c r="E51" s="169">
        <v>28</v>
      </c>
      <c r="F51" s="169">
        <v>29</v>
      </c>
      <c r="G51" s="169">
        <v>-344</v>
      </c>
      <c r="H51" s="169">
        <v>20</v>
      </c>
      <c r="I51" s="169">
        <v>-88</v>
      </c>
      <c r="J51" s="169">
        <v>282</v>
      </c>
      <c r="K51" s="169">
        <v>-1.13</v>
      </c>
      <c r="L51" s="169">
        <v>38</v>
      </c>
      <c r="M51" s="169">
        <f t="shared" si="4"/>
        <v>7</v>
      </c>
      <c r="N51" s="169">
        <f t="shared" si="5"/>
        <v>4</v>
      </c>
    </row>
    <row r="52" spans="1:14" ht="11.25">
      <c r="A52" s="168" t="s">
        <v>83</v>
      </c>
      <c r="B52" s="169">
        <v>174</v>
      </c>
      <c r="C52" s="169">
        <v>-242</v>
      </c>
      <c r="D52" s="169">
        <v>-52</v>
      </c>
      <c r="E52" s="169">
        <v>28</v>
      </c>
      <c r="F52" s="169">
        <v>16</v>
      </c>
      <c r="G52" s="169">
        <v>48</v>
      </c>
      <c r="H52" s="169">
        <v>-158</v>
      </c>
      <c r="I52" s="169">
        <v>126</v>
      </c>
      <c r="J52" s="169">
        <v>-154</v>
      </c>
      <c r="K52" s="169">
        <v>8</v>
      </c>
      <c r="L52" s="169">
        <v>-36</v>
      </c>
      <c r="M52" s="169">
        <f t="shared" si="4"/>
        <v>6</v>
      </c>
      <c r="N52" s="169">
        <f t="shared" si="5"/>
        <v>5</v>
      </c>
    </row>
    <row r="53" spans="1:14" ht="11.25">
      <c r="A53" s="168" t="s">
        <v>98</v>
      </c>
      <c r="B53" s="169">
        <v>428</v>
      </c>
      <c r="C53" s="169">
        <v>-810</v>
      </c>
      <c r="D53" s="169">
        <v>-324</v>
      </c>
      <c r="E53" s="169">
        <v>184</v>
      </c>
      <c r="F53" s="169">
        <v>200</v>
      </c>
      <c r="G53" s="169">
        <v>146</v>
      </c>
      <c r="H53" s="169">
        <v>-84</v>
      </c>
      <c r="I53" s="169">
        <v>-290</v>
      </c>
      <c r="J53" s="169">
        <v>740</v>
      </c>
      <c r="K53" s="169">
        <v>70</v>
      </c>
      <c r="L53" s="169">
        <v>90</v>
      </c>
      <c r="M53" s="169">
        <f t="shared" si="4"/>
        <v>7</v>
      </c>
      <c r="N53" s="169">
        <f t="shared" si="5"/>
        <v>4</v>
      </c>
    </row>
    <row r="54" spans="1:14" ht="5.25" customHeight="1">
      <c r="A54" s="168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</row>
    <row r="55" spans="1:14" ht="10.5" customHeight="1">
      <c r="A55" s="168" t="s">
        <v>283</v>
      </c>
      <c r="B55" s="169">
        <v>112</v>
      </c>
      <c r="C55" s="169">
        <v>0</v>
      </c>
      <c r="D55" s="169">
        <v>2297</v>
      </c>
      <c r="E55" s="169">
        <v>354</v>
      </c>
      <c r="F55" s="169">
        <v>587</v>
      </c>
      <c r="G55" s="169">
        <v>-1838</v>
      </c>
      <c r="H55" s="169">
        <v>-5322</v>
      </c>
      <c r="I55" s="169">
        <v>210</v>
      </c>
      <c r="J55" s="169">
        <v>264</v>
      </c>
      <c r="K55" s="169">
        <v>116</v>
      </c>
      <c r="L55" s="169">
        <v>-78</v>
      </c>
      <c r="M55" s="169">
        <f t="shared" si="4"/>
        <v>7</v>
      </c>
      <c r="N55" s="169">
        <f t="shared" si="5"/>
        <v>3</v>
      </c>
    </row>
    <row r="56" spans="1:14" ht="11.25" customHeight="1">
      <c r="A56" s="168" t="s">
        <v>284</v>
      </c>
      <c r="B56" s="169">
        <v>89</v>
      </c>
      <c r="C56" s="169">
        <v>892</v>
      </c>
      <c r="D56" s="169">
        <v>-132</v>
      </c>
      <c r="E56" s="169">
        <v>146</v>
      </c>
      <c r="F56" s="169">
        <v>261</v>
      </c>
      <c r="G56" s="169">
        <v>-3226</v>
      </c>
      <c r="H56" s="169">
        <v>-4196</v>
      </c>
      <c r="I56" s="169">
        <v>-188</v>
      </c>
      <c r="J56" s="169">
        <v>390</v>
      </c>
      <c r="K56" s="169">
        <v>-6</v>
      </c>
      <c r="L56" s="169">
        <v>1022</v>
      </c>
      <c r="M56" s="169">
        <f t="shared" si="4"/>
        <v>6</v>
      </c>
      <c r="N56" s="169">
        <f t="shared" si="5"/>
        <v>5</v>
      </c>
    </row>
    <row r="57" spans="1:14" ht="8.25" customHeight="1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</row>
    <row r="58" spans="1:14" ht="11.25">
      <c r="A58" s="168" t="s">
        <v>257</v>
      </c>
      <c r="B58" s="170">
        <v>0.78</v>
      </c>
      <c r="C58" s="170">
        <v>-0.38</v>
      </c>
      <c r="D58" s="170">
        <v>-0.58</v>
      </c>
      <c r="E58" s="170">
        <v>0.3</v>
      </c>
      <c r="F58" s="170">
        <v>0.08</v>
      </c>
      <c r="G58" s="170">
        <v>0.06</v>
      </c>
      <c r="H58" s="170">
        <v>0.06000000000000005</v>
      </c>
      <c r="I58" s="170">
        <v>-0.62</v>
      </c>
      <c r="J58" s="170">
        <v>0.52</v>
      </c>
      <c r="K58" s="170">
        <v>0.22</v>
      </c>
      <c r="L58" s="170">
        <v>0.16</v>
      </c>
      <c r="M58" s="169">
        <f>COUNTIF(B58:L58,"&gt;0")</f>
        <v>8</v>
      </c>
      <c r="N58" s="169">
        <f>COUNTIF(B58:L58,"&lt;0")</f>
        <v>3</v>
      </c>
    </row>
    <row r="59" spans="1:14" ht="11.25">
      <c r="A59" s="168" t="s">
        <v>258</v>
      </c>
      <c r="B59" s="170">
        <v>0.78</v>
      </c>
      <c r="C59" s="170">
        <v>-0.38</v>
      </c>
      <c r="D59" s="170">
        <v>-0.58</v>
      </c>
      <c r="E59" s="170">
        <v>0.3</v>
      </c>
      <c r="F59" s="170">
        <v>0.08</v>
      </c>
      <c r="G59" s="170">
        <v>0.06</v>
      </c>
      <c r="H59" s="170">
        <v>0.06000000000000005</v>
      </c>
      <c r="I59" s="170">
        <v>-0.62</v>
      </c>
      <c r="J59" s="170">
        <v>0.52</v>
      </c>
      <c r="K59" s="170">
        <v>0.22</v>
      </c>
      <c r="L59" s="170">
        <v>0.18</v>
      </c>
      <c r="M59" s="169">
        <f>COUNTIF(B59:L59,"&gt;0")</f>
        <v>8</v>
      </c>
      <c r="N59" s="169">
        <f>COUNTIF(B59:L59,"&lt;0")</f>
        <v>3</v>
      </c>
    </row>
    <row r="60" spans="1:14" ht="4.5" customHeight="1">
      <c r="A60" s="168"/>
      <c r="B60" s="169" t="s">
        <v>17</v>
      </c>
      <c r="C60" s="169"/>
      <c r="D60" s="169" t="s">
        <v>17</v>
      </c>
      <c r="E60" s="169" t="s">
        <v>17</v>
      </c>
      <c r="F60" s="169" t="s">
        <v>17</v>
      </c>
      <c r="G60" s="169" t="s">
        <v>17</v>
      </c>
      <c r="H60" s="169" t="s">
        <v>17</v>
      </c>
      <c r="I60" s="169" t="s">
        <v>17</v>
      </c>
      <c r="J60" s="169" t="s">
        <v>17</v>
      </c>
      <c r="K60" s="169" t="s">
        <v>17</v>
      </c>
      <c r="L60" s="169" t="s">
        <v>17</v>
      </c>
      <c r="M60" s="169"/>
      <c r="N60" s="169"/>
    </row>
    <row r="61" spans="1:14" ht="11.25">
      <c r="A61" s="168" t="s">
        <v>304</v>
      </c>
      <c r="B61" s="169">
        <v>-268</v>
      </c>
      <c r="C61" s="169">
        <v>178</v>
      </c>
      <c r="D61" s="169">
        <v>140</v>
      </c>
      <c r="E61" s="169">
        <v>72</v>
      </c>
      <c r="F61" s="169">
        <v>52</v>
      </c>
      <c r="G61" s="169">
        <v>-202</v>
      </c>
      <c r="H61" s="169">
        <v>144</v>
      </c>
      <c r="I61" s="169">
        <v>-208</v>
      </c>
      <c r="J61" s="169">
        <v>-678</v>
      </c>
      <c r="K61" s="169">
        <v>6</v>
      </c>
      <c r="L61" s="169">
        <v>-44</v>
      </c>
      <c r="M61" s="169">
        <f>COUNTIF(B61:L61,"&gt;0")</f>
        <v>6</v>
      </c>
      <c r="N61" s="169">
        <f>COUNTIF(B61:L61,"&lt;0")</f>
        <v>5</v>
      </c>
    </row>
    <row r="62" spans="1:14" ht="9.75" customHeight="1">
      <c r="A62" s="168" t="s">
        <v>302</v>
      </c>
      <c r="B62" s="169">
        <v>2222</v>
      </c>
      <c r="C62" s="169">
        <v>336</v>
      </c>
      <c r="D62" s="169">
        <v>620</v>
      </c>
      <c r="E62" s="169">
        <v>94</v>
      </c>
      <c r="F62" s="169">
        <v>-356</v>
      </c>
      <c r="G62" s="169">
        <v>2790</v>
      </c>
      <c r="H62" s="169">
        <v>-424</v>
      </c>
      <c r="I62" s="169">
        <v>-292</v>
      </c>
      <c r="J62" s="169">
        <v>-1012</v>
      </c>
      <c r="K62" s="169">
        <v>30</v>
      </c>
      <c r="L62" s="169">
        <v>-302</v>
      </c>
      <c r="M62" s="169">
        <f>COUNTIF(B62:L62,"&gt;0")</f>
        <v>6</v>
      </c>
      <c r="N62" s="169">
        <f>COUNTIF(B62:L62,"&lt;0")</f>
        <v>5</v>
      </c>
    </row>
    <row r="63" spans="1:14" ht="11.25">
      <c r="A63" s="168" t="s">
        <v>305</v>
      </c>
      <c r="B63" s="169">
        <v>756</v>
      </c>
      <c r="C63" s="169">
        <v>194</v>
      </c>
      <c r="D63" s="169">
        <v>568</v>
      </c>
      <c r="E63" s="169">
        <v>-122</v>
      </c>
      <c r="F63" s="169">
        <v>526</v>
      </c>
      <c r="G63" s="169">
        <v>-1528</v>
      </c>
      <c r="H63" s="169">
        <v>-200</v>
      </c>
      <c r="I63" s="169">
        <v>-354</v>
      </c>
      <c r="J63" s="169">
        <v>2306</v>
      </c>
      <c r="K63" s="169">
        <v>24</v>
      </c>
      <c r="L63" s="169">
        <v>394</v>
      </c>
      <c r="M63" s="169">
        <f>COUNTIF(B63:L63,"&gt;0")</f>
        <v>7</v>
      </c>
      <c r="N63" s="169">
        <f>COUNTIF(B63:L63,"&lt;0")</f>
        <v>4</v>
      </c>
    </row>
    <row r="64" spans="1:14" ht="11.25">
      <c r="A64" s="168" t="s">
        <v>64</v>
      </c>
      <c r="B64" s="169">
        <v>2094</v>
      </c>
      <c r="C64" s="169">
        <v>240</v>
      </c>
      <c r="D64" s="169">
        <v>-126</v>
      </c>
      <c r="E64" s="169">
        <v>56</v>
      </c>
      <c r="F64" s="169">
        <v>116</v>
      </c>
      <c r="G64" s="169">
        <v>1134</v>
      </c>
      <c r="H64" s="169">
        <v>-144</v>
      </c>
      <c r="I64" s="172">
        <v>-452</v>
      </c>
      <c r="J64" s="169">
        <v>266</v>
      </c>
      <c r="K64" s="169">
        <v>14</v>
      </c>
      <c r="L64" s="172">
        <v>388</v>
      </c>
      <c r="M64" s="169">
        <f>COUNTIF(B64:L64,"&gt;0")</f>
        <v>8</v>
      </c>
      <c r="N64" s="169">
        <f>COUNTIF(B64:L64,"&lt;0")</f>
        <v>3</v>
      </c>
    </row>
    <row r="65" spans="1:14" ht="4.5" customHeight="1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69"/>
      <c r="N65" s="169"/>
    </row>
    <row r="66" spans="1:14" ht="11.25">
      <c r="A66" s="168" t="s">
        <v>102</v>
      </c>
      <c r="B66" s="169">
        <v>112246</v>
      </c>
      <c r="C66" s="169">
        <v>8686</v>
      </c>
      <c r="D66" s="169">
        <v>3052</v>
      </c>
      <c r="E66" s="169">
        <v>480</v>
      </c>
      <c r="F66" s="169">
        <v>902</v>
      </c>
      <c r="G66" s="169">
        <v>-42</v>
      </c>
      <c r="H66" s="169">
        <v>4174</v>
      </c>
      <c r="I66" s="169">
        <v>946</v>
      </c>
      <c r="J66" s="169">
        <v>-4496</v>
      </c>
      <c r="K66" s="169">
        <v>-18</v>
      </c>
      <c r="L66" s="169">
        <v>1618</v>
      </c>
      <c r="M66" s="169">
        <f>COUNTIF(B66:L66,"&gt;0")</f>
        <v>8</v>
      </c>
      <c r="N66" s="169">
        <f>COUNTIF(B66:L66,"&lt;0")</f>
        <v>3</v>
      </c>
    </row>
    <row r="67" spans="1:14" ht="11.25">
      <c r="A67" s="168" t="s">
        <v>104</v>
      </c>
      <c r="B67" s="170">
        <v>-0.027185043471675625</v>
      </c>
      <c r="C67" s="170">
        <v>-1.1902079223041944</v>
      </c>
      <c r="D67" s="170">
        <v>-2.030100493599644</v>
      </c>
      <c r="E67" s="170">
        <v>0.5509410049008079</v>
      </c>
      <c r="F67" s="170">
        <v>0.8905802208127787</v>
      </c>
      <c r="G67" s="170">
        <v>-0.058198275095227014</v>
      </c>
      <c r="H67" s="170">
        <v>-0.6402433272250501</v>
      </c>
      <c r="I67" s="170">
        <v>-0.8935693598083132</v>
      </c>
      <c r="J67" s="170">
        <v>0.9465978910751669</v>
      </c>
      <c r="K67" s="170">
        <v>0.3371605613267723</v>
      </c>
      <c r="L67" s="170">
        <v>0.3180031864046733</v>
      </c>
      <c r="M67" s="169">
        <f>COUNTIF(B67:L67,"&gt;0")</f>
        <v>5</v>
      </c>
      <c r="N67" s="169">
        <f>COUNTIF(B67:L67,"&lt;0")</f>
        <v>6</v>
      </c>
    </row>
    <row r="68" spans="1:14" ht="3" customHeight="1">
      <c r="A68" s="171"/>
      <c r="B68" s="171"/>
      <c r="C68" s="169"/>
      <c r="D68" s="171"/>
      <c r="E68" s="171"/>
      <c r="F68" s="171"/>
      <c r="G68" s="171"/>
      <c r="H68" s="171"/>
      <c r="I68" s="171"/>
      <c r="J68" s="171"/>
      <c r="K68" s="171"/>
      <c r="L68" s="171"/>
      <c r="M68" s="169"/>
      <c r="N68" s="169"/>
    </row>
    <row r="69" spans="1:14" ht="11.25">
      <c r="A69" s="168" t="s">
        <v>53</v>
      </c>
      <c r="B69" s="170">
        <v>-102.80518648343994</v>
      </c>
      <c r="C69" s="170">
        <v>11.818237070698572</v>
      </c>
      <c r="D69" s="170">
        <v>-11.544268397343558</v>
      </c>
      <c r="E69" s="170">
        <v>43.38667677636987</v>
      </c>
      <c r="F69" s="170">
        <v>68.22645055203196</v>
      </c>
      <c r="G69" s="173">
        <v>-25.56013612826564</v>
      </c>
      <c r="H69" s="170">
        <v>-22.96264571075072</v>
      </c>
      <c r="I69" s="170">
        <v>-0.219015334787656</v>
      </c>
      <c r="J69" s="170">
        <v>51.39633827391815</v>
      </c>
      <c r="K69" s="170">
        <v>-0.8656825223254963</v>
      </c>
      <c r="L69" s="191">
        <v>28.58212688663633</v>
      </c>
      <c r="M69" s="169">
        <f aca="true" t="shared" si="6" ref="M69:M75">COUNTIF(B69:L69,"&gt;0")</f>
        <v>5</v>
      </c>
      <c r="N69" s="169">
        <f aca="true" t="shared" si="7" ref="N69:N75">COUNTIF(B69:L69,"&lt;0")</f>
        <v>6</v>
      </c>
    </row>
    <row r="70" spans="1:14" ht="11.25">
      <c r="A70" s="168" t="s">
        <v>54</v>
      </c>
      <c r="B70" s="170">
        <v>-0.13888419028916327</v>
      </c>
      <c r="C70" s="170">
        <v>76.51630769230768</v>
      </c>
      <c r="D70" s="170">
        <v>12.048396854204478</v>
      </c>
      <c r="E70" s="170">
        <v>3.088461538461539</v>
      </c>
      <c r="F70" s="170">
        <v>708.2142857142857</v>
      </c>
      <c r="G70" s="173">
        <v>148.6895238095238</v>
      </c>
      <c r="H70" s="170">
        <v>-2.185895653785562</v>
      </c>
      <c r="I70" s="170">
        <v>-1.335497529992943</v>
      </c>
      <c r="J70" s="170">
        <v>-162.05594405594405</v>
      </c>
      <c r="K70" s="170">
        <v>176.44966948372522</v>
      </c>
      <c r="L70" s="191">
        <v>-22.883333333333333</v>
      </c>
      <c r="M70" s="169">
        <f t="shared" si="6"/>
        <v>6</v>
      </c>
      <c r="N70" s="169">
        <f t="shared" si="7"/>
        <v>5</v>
      </c>
    </row>
    <row r="71" spans="1:14" ht="11.25">
      <c r="A71" s="168" t="s">
        <v>97</v>
      </c>
      <c r="B71" s="170">
        <v>-5.144948647625938</v>
      </c>
      <c r="C71" s="170">
        <v>-20.894804345839148</v>
      </c>
      <c r="D71" s="170">
        <v>-31.45346399748454</v>
      </c>
      <c r="E71" s="170">
        <v>27.80282944011148</v>
      </c>
      <c r="F71" s="170">
        <v>18.57795622287687</v>
      </c>
      <c r="G71" s="173">
        <v>4.917763539849834</v>
      </c>
      <c r="H71" s="170">
        <v>-6.102417027810168</v>
      </c>
      <c r="I71" s="170">
        <v>-14.05680874901909</v>
      </c>
      <c r="J71" s="170">
        <v>39.82683982683983</v>
      </c>
      <c r="K71" s="170">
        <v>20.54719562243502</v>
      </c>
      <c r="L71" s="191">
        <v>2.8317943501056435</v>
      </c>
      <c r="M71" s="169">
        <f t="shared" si="6"/>
        <v>6</v>
      </c>
      <c r="N71" s="169">
        <f t="shared" si="7"/>
        <v>5</v>
      </c>
    </row>
    <row r="72" spans="1:14" ht="11.25">
      <c r="A72" s="168" t="s">
        <v>86</v>
      </c>
      <c r="B72" s="170">
        <v>3.7196535895130367</v>
      </c>
      <c r="C72" s="170">
        <v>-23.459306073191275</v>
      </c>
      <c r="D72" s="170">
        <v>36.19983153868919</v>
      </c>
      <c r="E72" s="170">
        <v>1.770530896721482</v>
      </c>
      <c r="F72" s="170">
        <v>4.6048761431396805</v>
      </c>
      <c r="G72" s="173">
        <v>-0.47554996668539395</v>
      </c>
      <c r="H72" s="170">
        <v>-3.129115375275526</v>
      </c>
      <c r="I72" s="170">
        <v>-4.34764116992737</v>
      </c>
      <c r="J72" s="170">
        <v>6.769929660624058</v>
      </c>
      <c r="K72" s="170">
        <v>-5.417709993170959</v>
      </c>
      <c r="L72" s="191">
        <v>-17.897208803005906</v>
      </c>
      <c r="M72" s="169">
        <f t="shared" si="6"/>
        <v>5</v>
      </c>
      <c r="N72" s="169">
        <f t="shared" si="7"/>
        <v>6</v>
      </c>
    </row>
    <row r="73" spans="1:14" ht="11.25">
      <c r="A73" s="168" t="s">
        <v>23</v>
      </c>
      <c r="B73" s="170">
        <v>0.029806620270007207</v>
      </c>
      <c r="C73" s="170">
        <v>-0.1503781590112525</v>
      </c>
      <c r="D73" s="170">
        <v>0.8910017768000675</v>
      </c>
      <c r="E73" s="170">
        <v>-0.019350811485642994</v>
      </c>
      <c r="F73" s="170">
        <v>-0.46976878612716755</v>
      </c>
      <c r="G73" s="173">
        <v>0.4217480676261973</v>
      </c>
      <c r="H73" s="170">
        <v>0.12225570927332052</v>
      </c>
      <c r="I73" s="170">
        <v>1.174348165166621</v>
      </c>
      <c r="J73" s="170">
        <v>-1.5817280698302012</v>
      </c>
      <c r="K73" s="170">
        <v>0.583333333333333</v>
      </c>
      <c r="L73" s="191">
        <v>0.127897086165496</v>
      </c>
      <c r="M73" s="169">
        <f t="shared" si="6"/>
        <v>7</v>
      </c>
      <c r="N73" s="169">
        <f t="shared" si="7"/>
        <v>4</v>
      </c>
    </row>
    <row r="74" spans="1:14" ht="11.25">
      <c r="A74" s="168" t="s">
        <v>49</v>
      </c>
      <c r="B74" s="170">
        <v>-1.528449137954004</v>
      </c>
      <c r="C74" s="170">
        <v>-23.51881461533906</v>
      </c>
      <c r="D74" s="170">
        <v>-24.124886400203387</v>
      </c>
      <c r="E74" s="170">
        <v>10.858706751270859</v>
      </c>
      <c r="F74" s="170">
        <v>15.212591026544516</v>
      </c>
      <c r="G74" s="173">
        <v>-1.3818749684022489</v>
      </c>
      <c r="H74" s="170">
        <v>-7.038950993779502</v>
      </c>
      <c r="I74" s="170">
        <v>-12.071801703425091</v>
      </c>
      <c r="J74" s="170">
        <v>17.90763506639263</v>
      </c>
      <c r="K74" s="170">
        <v>20.97351922726444</v>
      </c>
      <c r="L74" s="191">
        <v>-1.9443995474381772</v>
      </c>
      <c r="M74" s="169">
        <f t="shared" si="6"/>
        <v>4</v>
      </c>
      <c r="N74" s="169">
        <f t="shared" si="7"/>
        <v>7</v>
      </c>
    </row>
    <row r="75" spans="1:14" ht="11.25">
      <c r="A75" s="168" t="s">
        <v>50</v>
      </c>
      <c r="B75" s="170">
        <v>209.84072899741824</v>
      </c>
      <c r="C75" s="170">
        <v>-7.541167550614777</v>
      </c>
      <c r="D75" s="170">
        <v>-3.693571152138775</v>
      </c>
      <c r="E75" s="170">
        <v>2.430613810512405</v>
      </c>
      <c r="F75" s="170">
        <v>5.288325468004617</v>
      </c>
      <c r="G75" s="173">
        <v>-0.5795848930935015</v>
      </c>
      <c r="H75" s="170">
        <v>-0.8791798786752345</v>
      </c>
      <c r="I75" s="170">
        <v>-2.9870880499029413</v>
      </c>
      <c r="J75" s="170">
        <v>5.7429631067049005</v>
      </c>
      <c r="K75" s="170">
        <v>25.574649062903102</v>
      </c>
      <c r="L75" s="191">
        <v>-6.356682769726249</v>
      </c>
      <c r="M75" s="169">
        <f t="shared" si="6"/>
        <v>5</v>
      </c>
      <c r="N75" s="169">
        <f t="shared" si="7"/>
        <v>6</v>
      </c>
    </row>
    <row r="76" spans="4:14" ht="11.25"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7:14" ht="11.25">
      <c r="G77" s="159" t="s">
        <v>266</v>
      </c>
      <c r="H77" s="157"/>
      <c r="M77" s="157"/>
      <c r="N77" s="157"/>
    </row>
    <row r="78" spans="1:14" ht="21.75" customHeight="1">
      <c r="A78" s="161"/>
      <c r="B78" s="162"/>
      <c r="C78" s="162"/>
      <c r="D78" s="162"/>
      <c r="E78" s="163" t="s">
        <v>205</v>
      </c>
      <c r="F78" s="162"/>
      <c r="G78" s="162"/>
      <c r="H78" s="162"/>
      <c r="I78" s="162"/>
      <c r="J78" s="162"/>
      <c r="K78" s="162"/>
      <c r="L78" s="162"/>
      <c r="M78" s="162"/>
      <c r="N78" s="164"/>
    </row>
    <row r="79" spans="1:14" ht="75" customHeight="1">
      <c r="A79" s="165" t="s">
        <v>260</v>
      </c>
      <c r="B79" s="166" t="s">
        <v>275</v>
      </c>
      <c r="C79" s="166" t="s">
        <v>276</v>
      </c>
      <c r="D79" s="166" t="s">
        <v>11</v>
      </c>
      <c r="E79" s="166" t="s">
        <v>208</v>
      </c>
      <c r="F79" s="166" t="s">
        <v>277</v>
      </c>
      <c r="G79" s="166" t="s">
        <v>278</v>
      </c>
      <c r="H79" s="166" t="s">
        <v>279</v>
      </c>
      <c r="I79" s="166" t="s">
        <v>280</v>
      </c>
      <c r="J79" s="166" t="s">
        <v>214</v>
      </c>
      <c r="K79" s="166" t="s">
        <v>281</v>
      </c>
      <c r="L79" s="166" t="s">
        <v>216</v>
      </c>
      <c r="M79" s="167" t="s">
        <v>263</v>
      </c>
      <c r="N79" s="167" t="s">
        <v>264</v>
      </c>
    </row>
    <row r="80" spans="1:14" ht="11.25">
      <c r="A80" s="168" t="s">
        <v>26</v>
      </c>
      <c r="B80" s="169">
        <v>4480</v>
      </c>
      <c r="C80" s="169">
        <v>4810</v>
      </c>
      <c r="D80" s="169">
        <v>35440</v>
      </c>
      <c r="E80" s="169">
        <v>-4988</v>
      </c>
      <c r="F80" s="169">
        <v>486</v>
      </c>
      <c r="G80" s="169">
        <v>1197</v>
      </c>
      <c r="H80" s="169">
        <v>-332</v>
      </c>
      <c r="I80" s="169">
        <v>-793536</v>
      </c>
      <c r="J80" s="169">
        <v>579</v>
      </c>
      <c r="K80" s="169">
        <v>-2804</v>
      </c>
      <c r="L80" s="169">
        <v>6736</v>
      </c>
      <c r="M80" s="169">
        <f>COUNTIF(B80:L80,"&gt;0")</f>
        <v>7</v>
      </c>
      <c r="N80" s="169">
        <f>COUNTIF(B80:L80,"&lt;0")</f>
        <v>4</v>
      </c>
    </row>
    <row r="81" spans="1:14" ht="11.25">
      <c r="A81" s="168" t="s">
        <v>93</v>
      </c>
      <c r="B81" s="169">
        <v>12902</v>
      </c>
      <c r="C81" s="169">
        <v>8356</v>
      </c>
      <c r="D81" s="169">
        <v>62146</v>
      </c>
      <c r="E81" s="169">
        <v>-9132</v>
      </c>
      <c r="F81" s="169">
        <v>6452</v>
      </c>
      <c r="G81" s="169">
        <v>1016</v>
      </c>
      <c r="H81" s="169">
        <v>722</v>
      </c>
      <c r="I81" s="169">
        <v>918864</v>
      </c>
      <c r="J81" s="169">
        <v>761</v>
      </c>
      <c r="K81" s="169">
        <v>-3072</v>
      </c>
      <c r="L81" s="169">
        <v>9474</v>
      </c>
      <c r="M81" s="169">
        <f>COUNTIF(B81:L81,"&gt;0")</f>
        <v>9</v>
      </c>
      <c r="N81" s="169">
        <f>COUNTIF(B81:L81,"&lt;0")</f>
        <v>2</v>
      </c>
    </row>
    <row r="82" spans="1:14" ht="11.25">
      <c r="A82" s="168" t="s">
        <v>72</v>
      </c>
      <c r="B82" s="169">
        <v>2552</v>
      </c>
      <c r="C82" s="169">
        <v>1232</v>
      </c>
      <c r="D82" s="169">
        <v>28281</v>
      </c>
      <c r="E82" s="169">
        <v>-8056</v>
      </c>
      <c r="F82" s="169">
        <v>-3086</v>
      </c>
      <c r="G82" s="169">
        <v>1304</v>
      </c>
      <c r="H82" s="169">
        <v>654</v>
      </c>
      <c r="I82" s="169">
        <v>226952</v>
      </c>
      <c r="J82" s="169">
        <v>-102</v>
      </c>
      <c r="K82" s="169">
        <v>-2570</v>
      </c>
      <c r="L82" s="169">
        <v>7928</v>
      </c>
      <c r="M82" s="169">
        <f>COUNTIF(B82:L82,"&gt;0")</f>
        <v>7</v>
      </c>
      <c r="N82" s="169">
        <f>COUNTIF(B82:L82,"&lt;0")</f>
        <v>4</v>
      </c>
    </row>
    <row r="83" spans="1:14" ht="11.25">
      <c r="A83" s="168" t="s">
        <v>35</v>
      </c>
      <c r="B83" s="169">
        <v>-3837</v>
      </c>
      <c r="C83" s="169">
        <v>5939</v>
      </c>
      <c r="D83" s="169">
        <v>41153</v>
      </c>
      <c r="E83" s="169">
        <v>-3754</v>
      </c>
      <c r="F83" s="169">
        <v>-4664</v>
      </c>
      <c r="G83" s="169">
        <v>1309</v>
      </c>
      <c r="H83" s="169">
        <v>494</v>
      </c>
      <c r="I83" s="169">
        <v>827884</v>
      </c>
      <c r="J83" s="169">
        <v>-379</v>
      </c>
      <c r="K83" s="169">
        <v>-2098</v>
      </c>
      <c r="L83" s="169">
        <v>9066</v>
      </c>
      <c r="M83" s="169">
        <f>COUNTIF(B83:L83,"&gt;0")</f>
        <v>6</v>
      </c>
      <c r="N83" s="169">
        <f>COUNTIF(B83:L83,"&lt;0")</f>
        <v>5</v>
      </c>
    </row>
    <row r="84" spans="1:14" ht="11.25">
      <c r="A84" s="168" t="s">
        <v>100</v>
      </c>
      <c r="B84" s="169">
        <v>10866</v>
      </c>
      <c r="C84" s="169">
        <v>4244</v>
      </c>
      <c r="D84" s="169">
        <v>20993</v>
      </c>
      <c r="E84" s="169">
        <v>-2640</v>
      </c>
      <c r="F84" s="169">
        <v>4520</v>
      </c>
      <c r="G84" s="169">
        <v>-291</v>
      </c>
      <c r="H84" s="169">
        <v>228</v>
      </c>
      <c r="I84" s="169">
        <v>43890</v>
      </c>
      <c r="J84" s="169">
        <v>1140</v>
      </c>
      <c r="K84" s="169">
        <v>-974</v>
      </c>
      <c r="L84" s="169">
        <v>408</v>
      </c>
      <c r="M84" s="169">
        <f>COUNTIF(B84:L84,"&gt;0")</f>
        <v>8</v>
      </c>
      <c r="N84" s="169">
        <f>COUNTIF(B84:L84,"&lt;0")</f>
        <v>3</v>
      </c>
    </row>
    <row r="85" spans="1:14" ht="4.5" customHeight="1">
      <c r="A85" s="168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</row>
    <row r="86" spans="1:14" ht="11.25">
      <c r="A86" s="168" t="s">
        <v>261</v>
      </c>
      <c r="B86" s="169">
        <v>17927</v>
      </c>
      <c r="C86" s="169">
        <v>8634</v>
      </c>
      <c r="D86" s="169">
        <v>119323</v>
      </c>
      <c r="E86" s="169">
        <v>-8044</v>
      </c>
      <c r="F86" s="169">
        <v>4026</v>
      </c>
      <c r="G86" s="169">
        <v>-275</v>
      </c>
      <c r="H86" s="169">
        <v>-366</v>
      </c>
      <c r="I86" s="169">
        <v>22374</v>
      </c>
      <c r="J86" s="169">
        <v>611</v>
      </c>
      <c r="K86" s="169">
        <v>-2054</v>
      </c>
      <c r="L86" s="169">
        <v>4000</v>
      </c>
      <c r="M86" s="169">
        <f aca="true" t="shared" si="8" ref="M86:M91">COUNTIF(B86:L86,"&gt;0")</f>
        <v>7</v>
      </c>
      <c r="N86" s="169">
        <f aca="true" t="shared" si="9" ref="N86:N91">COUNTIF(B86:L86,"&lt;0")</f>
        <v>4</v>
      </c>
    </row>
    <row r="87" spans="1:14" ht="11.25">
      <c r="A87" s="168" t="s">
        <v>74</v>
      </c>
      <c r="B87" s="169">
        <v>12394</v>
      </c>
      <c r="C87" s="169">
        <v>4181</v>
      </c>
      <c r="D87" s="169">
        <v>96494</v>
      </c>
      <c r="E87" s="169">
        <v>-13416</v>
      </c>
      <c r="F87" s="169">
        <v>802</v>
      </c>
      <c r="G87" s="169">
        <v>-765</v>
      </c>
      <c r="H87" s="169">
        <v>-4520</v>
      </c>
      <c r="I87" s="169">
        <v>6246</v>
      </c>
      <c r="J87" s="169">
        <v>372</v>
      </c>
      <c r="K87" s="169">
        <v>-2768</v>
      </c>
      <c r="L87" s="169">
        <v>158</v>
      </c>
      <c r="M87" s="169">
        <f t="shared" si="8"/>
        <v>7</v>
      </c>
      <c r="N87" s="169">
        <f t="shared" si="9"/>
        <v>4</v>
      </c>
    </row>
    <row r="88" spans="1:14" ht="11.25">
      <c r="A88" s="168" t="s">
        <v>259</v>
      </c>
      <c r="B88" s="169">
        <v>5533</v>
      </c>
      <c r="C88" s="169">
        <v>4453</v>
      </c>
      <c r="D88" s="169">
        <v>22829</v>
      </c>
      <c r="E88" s="169">
        <v>5372</v>
      </c>
      <c r="F88" s="169">
        <v>3224</v>
      </c>
      <c r="G88" s="169">
        <v>490</v>
      </c>
      <c r="H88" s="169">
        <v>4154</v>
      </c>
      <c r="I88" s="169">
        <v>16128</v>
      </c>
      <c r="J88" s="169">
        <v>239</v>
      </c>
      <c r="K88" s="169">
        <v>714</v>
      </c>
      <c r="L88" s="169">
        <v>3842</v>
      </c>
      <c r="M88" s="169">
        <f t="shared" si="8"/>
        <v>11</v>
      </c>
      <c r="N88" s="169">
        <f t="shared" si="9"/>
        <v>0</v>
      </c>
    </row>
    <row r="89" spans="1:14" ht="11.25">
      <c r="A89" s="168" t="s">
        <v>82</v>
      </c>
      <c r="B89" s="169">
        <v>145</v>
      </c>
      <c r="C89" s="169">
        <v>-26</v>
      </c>
      <c r="D89" s="169">
        <v>38</v>
      </c>
      <c r="E89" s="169">
        <v>-250</v>
      </c>
      <c r="F89" s="169">
        <v>398</v>
      </c>
      <c r="G89" s="169">
        <v>-14</v>
      </c>
      <c r="H89" s="169">
        <v>-162</v>
      </c>
      <c r="I89" s="169">
        <v>1470</v>
      </c>
      <c r="J89" s="169">
        <v>-25</v>
      </c>
      <c r="K89" s="169">
        <v>6</v>
      </c>
      <c r="L89" s="169">
        <v>78</v>
      </c>
      <c r="M89" s="169">
        <f t="shared" si="8"/>
        <v>6</v>
      </c>
      <c r="N89" s="169">
        <f t="shared" si="9"/>
        <v>5</v>
      </c>
    </row>
    <row r="90" spans="1:14" ht="11.25">
      <c r="A90" s="168" t="s">
        <v>83</v>
      </c>
      <c r="B90" s="169">
        <v>1313</v>
      </c>
      <c r="C90" s="169">
        <v>1374</v>
      </c>
      <c r="D90" s="169">
        <v>10639</v>
      </c>
      <c r="E90" s="169">
        <v>164</v>
      </c>
      <c r="F90" s="169">
        <v>4426</v>
      </c>
      <c r="G90" s="169">
        <v>1</v>
      </c>
      <c r="H90" s="169">
        <v>-24</v>
      </c>
      <c r="I90" s="169">
        <v>2244</v>
      </c>
      <c r="J90" s="169">
        <v>40</v>
      </c>
      <c r="K90" s="169">
        <v>-78</v>
      </c>
      <c r="L90" s="169">
        <v>192</v>
      </c>
      <c r="M90" s="169">
        <f t="shared" si="8"/>
        <v>9</v>
      </c>
      <c r="N90" s="169">
        <f t="shared" si="9"/>
        <v>2</v>
      </c>
    </row>
    <row r="91" spans="1:14" ht="11.25">
      <c r="A91" s="168" t="s">
        <v>98</v>
      </c>
      <c r="B91" s="169">
        <v>5359</v>
      </c>
      <c r="C91" s="169">
        <v>3227</v>
      </c>
      <c r="D91" s="169">
        <v>15414</v>
      </c>
      <c r="E91" s="169">
        <v>522</v>
      </c>
      <c r="F91" s="169">
        <v>2906</v>
      </c>
      <c r="G91" s="169">
        <v>456</v>
      </c>
      <c r="H91" s="169">
        <v>1088</v>
      </c>
      <c r="I91" s="169">
        <v>6846</v>
      </c>
      <c r="J91" s="169">
        <v>521</v>
      </c>
      <c r="K91" s="169">
        <v>1120</v>
      </c>
      <c r="L91" s="169">
        <v>762</v>
      </c>
      <c r="M91" s="169">
        <f t="shared" si="8"/>
        <v>11</v>
      </c>
      <c r="N91" s="169">
        <f t="shared" si="9"/>
        <v>0</v>
      </c>
    </row>
    <row r="92" spans="1:14" ht="3.75" customHeight="1">
      <c r="A92" s="168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</row>
    <row r="93" spans="1:14" ht="11.25">
      <c r="A93" s="168" t="s">
        <v>257</v>
      </c>
      <c r="B93" s="170">
        <v>3.1</v>
      </c>
      <c r="C93" s="170">
        <v>2.22</v>
      </c>
      <c r="D93" s="170">
        <v>0.8</v>
      </c>
      <c r="E93" s="174">
        <v>0.36</v>
      </c>
      <c r="F93" s="170">
        <v>0.6</v>
      </c>
      <c r="G93" s="170">
        <v>0.05999999999999994</v>
      </c>
      <c r="H93" s="170">
        <v>1.4</v>
      </c>
      <c r="I93" s="170">
        <v>2.56</v>
      </c>
      <c r="J93" s="170">
        <v>0.55</v>
      </c>
      <c r="K93" s="170">
        <v>0.84</v>
      </c>
      <c r="L93" s="170">
        <v>0.56</v>
      </c>
      <c r="M93" s="169">
        <f>COUNTIF(B93:L93,"&gt;0")</f>
        <v>11</v>
      </c>
      <c r="N93" s="169">
        <f>COUNTIF(B93:L93,"&lt;0")</f>
        <v>0</v>
      </c>
    </row>
    <row r="94" spans="1:14" ht="11.25">
      <c r="A94" s="168" t="s">
        <v>258</v>
      </c>
      <c r="B94" s="170">
        <v>3.02</v>
      </c>
      <c r="C94" s="170">
        <v>2.21</v>
      </c>
      <c r="D94" s="170">
        <v>0.79</v>
      </c>
      <c r="E94" s="174">
        <v>0.36</v>
      </c>
      <c r="F94" s="170">
        <v>0.58</v>
      </c>
      <c r="G94" s="170">
        <v>0.05999999999999994</v>
      </c>
      <c r="H94" s="170">
        <v>1.4</v>
      </c>
      <c r="I94" s="170">
        <v>2.98</v>
      </c>
      <c r="J94" s="170">
        <v>0.55</v>
      </c>
      <c r="K94" s="170">
        <v>0.82</v>
      </c>
      <c r="L94" s="170">
        <v>0.54</v>
      </c>
      <c r="M94" s="169">
        <f>COUNTIF(B94:L94,"&gt;0")</f>
        <v>11</v>
      </c>
      <c r="N94" s="169">
        <f>COUNTIF(B94:L94,"&lt;0")</f>
        <v>0</v>
      </c>
    </row>
    <row r="95" spans="1:14" ht="5.25" customHeight="1">
      <c r="A95" s="168"/>
      <c r="B95" s="169" t="s">
        <v>17</v>
      </c>
      <c r="C95" s="169" t="s">
        <v>17</v>
      </c>
      <c r="D95" s="169" t="s">
        <v>17</v>
      </c>
      <c r="E95" s="169" t="s">
        <v>17</v>
      </c>
      <c r="F95" s="169" t="s">
        <v>17</v>
      </c>
      <c r="G95" s="169" t="s">
        <v>17</v>
      </c>
      <c r="H95" s="169"/>
      <c r="I95" s="169" t="s">
        <v>17</v>
      </c>
      <c r="J95" s="169" t="s">
        <v>17</v>
      </c>
      <c r="K95" s="169" t="s">
        <v>17</v>
      </c>
      <c r="L95" s="169" t="s">
        <v>17</v>
      </c>
      <c r="M95" s="169"/>
      <c r="N95" s="169"/>
    </row>
    <row r="96" spans="1:14" ht="11.25" customHeight="1">
      <c r="A96" s="168" t="s">
        <v>283</v>
      </c>
      <c r="B96" s="169">
        <v>-176</v>
      </c>
      <c r="C96" s="169">
        <v>1397</v>
      </c>
      <c r="D96" s="169">
        <v>460</v>
      </c>
      <c r="E96" s="169">
        <v>-1800</v>
      </c>
      <c r="F96" s="169">
        <v>4486</v>
      </c>
      <c r="G96" s="169">
        <v>119</v>
      </c>
      <c r="H96" s="169">
        <v>-6524</v>
      </c>
      <c r="I96" s="169">
        <v>12414</v>
      </c>
      <c r="J96" s="169">
        <v>1</v>
      </c>
      <c r="K96" s="169">
        <v>282</v>
      </c>
      <c r="L96" s="169">
        <v>4193</v>
      </c>
      <c r="M96" s="169">
        <f>COUNTIF(B96:L96,"&gt;0")</f>
        <v>8</v>
      </c>
      <c r="N96" s="169">
        <f>COUNTIF(B96:L96,"&lt;0")</f>
        <v>3</v>
      </c>
    </row>
    <row r="97" spans="1:14" ht="11.25" customHeight="1">
      <c r="A97" s="168" t="s">
        <v>284</v>
      </c>
      <c r="B97" s="169">
        <v>6967</v>
      </c>
      <c r="C97" s="169">
        <v>856</v>
      </c>
      <c r="D97" s="169">
        <v>3317</v>
      </c>
      <c r="E97" s="169">
        <v>-1186</v>
      </c>
      <c r="F97" s="169">
        <v>562</v>
      </c>
      <c r="G97" s="169">
        <v>-228</v>
      </c>
      <c r="H97" s="169">
        <v>5762</v>
      </c>
      <c r="I97" s="169">
        <v>15870</v>
      </c>
      <c r="J97" s="169">
        <v>259</v>
      </c>
      <c r="K97" s="169">
        <v>-460</v>
      </c>
      <c r="L97" s="169">
        <v>205</v>
      </c>
      <c r="M97" s="169">
        <f>COUNTIF(B97:L97,"&gt;0")</f>
        <v>8</v>
      </c>
      <c r="N97" s="169">
        <f>COUNTIF(B97:L97,"&lt;0")</f>
        <v>3</v>
      </c>
    </row>
    <row r="98" spans="1:14" ht="3" customHeight="1">
      <c r="A98" s="168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</row>
    <row r="99" spans="1:14" ht="9" customHeight="1">
      <c r="A99" s="168" t="s">
        <v>304</v>
      </c>
      <c r="B99" s="169">
        <v>1529</v>
      </c>
      <c r="C99" s="169">
        <v>950</v>
      </c>
      <c r="D99" s="169">
        <v>1451</v>
      </c>
      <c r="E99" s="169">
        <v>-260</v>
      </c>
      <c r="F99" s="169">
        <v>-3202</v>
      </c>
      <c r="G99" s="169">
        <v>77</v>
      </c>
      <c r="H99" s="169">
        <v>-62</v>
      </c>
      <c r="I99" s="169">
        <v>26602</v>
      </c>
      <c r="J99" s="169">
        <v>103</v>
      </c>
      <c r="K99" s="169">
        <v>10</v>
      </c>
      <c r="L99" s="169">
        <v>-354</v>
      </c>
      <c r="M99" s="169">
        <f>COUNTIF(B99:L99,"&gt;0")</f>
        <v>7</v>
      </c>
      <c r="N99" s="169">
        <f>COUNTIF(B99:L99,"&lt;0")</f>
        <v>4</v>
      </c>
    </row>
    <row r="100" spans="1:14" ht="9" customHeight="1">
      <c r="A100" s="168" t="s">
        <v>302</v>
      </c>
      <c r="B100" s="169">
        <v>588</v>
      </c>
      <c r="C100" s="169">
        <v>910</v>
      </c>
      <c r="D100" s="169">
        <v>-7789</v>
      </c>
      <c r="E100" s="169">
        <v>-650</v>
      </c>
      <c r="F100" s="169">
        <v>278</v>
      </c>
      <c r="G100" s="169">
        <v>-315</v>
      </c>
      <c r="H100" s="169">
        <v>-996</v>
      </c>
      <c r="I100" s="169">
        <v>18514</v>
      </c>
      <c r="J100" s="169">
        <v>432</v>
      </c>
      <c r="K100" s="169">
        <v>-502</v>
      </c>
      <c r="L100" s="169">
        <v>588</v>
      </c>
      <c r="M100" s="169">
        <f>COUNTIF(B100:L100,"&gt;0")</f>
        <v>6</v>
      </c>
      <c r="N100" s="169">
        <f>COUNTIF(B100:L100,"&lt;0")</f>
        <v>5</v>
      </c>
    </row>
    <row r="101" spans="1:14" ht="9.75" customHeight="1">
      <c r="A101" s="168" t="s">
        <v>305</v>
      </c>
      <c r="B101" s="169">
        <v>-2889</v>
      </c>
      <c r="C101" s="169">
        <v>-794</v>
      </c>
      <c r="D101" s="169">
        <v>4232</v>
      </c>
      <c r="E101" s="169">
        <v>544</v>
      </c>
      <c r="F101" s="169">
        <v>-3756</v>
      </c>
      <c r="G101" s="169">
        <v>103</v>
      </c>
      <c r="H101" s="169">
        <v>-54</v>
      </c>
      <c r="I101" s="169">
        <v>-1626</v>
      </c>
      <c r="J101" s="169">
        <v>-341</v>
      </c>
      <c r="K101" s="169">
        <v>-566</v>
      </c>
      <c r="L101" s="169">
        <v>1796</v>
      </c>
      <c r="M101" s="169">
        <f>COUNTIF(B101:L101,"&gt;0")</f>
        <v>4</v>
      </c>
      <c r="N101" s="169">
        <f>COUNTIF(B101:L101,"&lt;0")</f>
        <v>7</v>
      </c>
    </row>
    <row r="102" spans="1:14" ht="11.25">
      <c r="A102" s="168" t="s">
        <v>64</v>
      </c>
      <c r="B102" s="169">
        <v>-339</v>
      </c>
      <c r="C102" s="169">
        <v>2094</v>
      </c>
      <c r="D102" s="169">
        <v>-370</v>
      </c>
      <c r="E102" s="171">
        <v>-156</v>
      </c>
      <c r="F102" s="169">
        <v>-4420</v>
      </c>
      <c r="G102" s="169">
        <v>74</v>
      </c>
      <c r="H102" s="169">
        <v>-626</v>
      </c>
      <c r="I102" s="169">
        <v>38204</v>
      </c>
      <c r="J102" s="169">
        <v>226</v>
      </c>
      <c r="K102" s="169">
        <v>-1064</v>
      </c>
      <c r="L102" s="169">
        <v>554</v>
      </c>
      <c r="M102" s="169">
        <f>COUNTIF(B102:L102,"&gt;0")</f>
        <v>5</v>
      </c>
      <c r="N102" s="169">
        <f>COUNTIF(B102:L102,"&lt;0")</f>
        <v>6</v>
      </c>
    </row>
    <row r="103" spans="1:14" ht="5.25" customHeight="1">
      <c r="A103" s="171"/>
      <c r="B103" s="171"/>
      <c r="C103" s="171"/>
      <c r="D103" s="171"/>
      <c r="E103" s="171"/>
      <c r="F103" s="171"/>
      <c r="G103" s="171"/>
      <c r="H103" s="169"/>
      <c r="I103" s="171"/>
      <c r="J103" s="171"/>
      <c r="K103" s="171"/>
      <c r="L103" s="171"/>
      <c r="M103" s="169"/>
      <c r="N103" s="169"/>
    </row>
    <row r="104" spans="1:14" ht="11.25">
      <c r="A104" s="168" t="s">
        <v>102</v>
      </c>
      <c r="B104" s="169">
        <v>10350</v>
      </c>
      <c r="C104" s="169">
        <v>7124</v>
      </c>
      <c r="D104" s="169">
        <v>33865</v>
      </c>
      <c r="E104" s="169">
        <v>-1076</v>
      </c>
      <c r="F104" s="169">
        <v>9538</v>
      </c>
      <c r="G104" s="169">
        <v>-288</v>
      </c>
      <c r="H104" s="169">
        <v>68</v>
      </c>
      <c r="I104" s="169">
        <v>691912</v>
      </c>
      <c r="J104" s="169">
        <v>863</v>
      </c>
      <c r="K104" s="169">
        <v>-502</v>
      </c>
      <c r="L104" s="169">
        <v>1546</v>
      </c>
      <c r="M104" s="169">
        <f>COUNTIF(B104:L104,"&gt;0")</f>
        <v>8</v>
      </c>
      <c r="N104" s="169">
        <f>COUNTIF(B104:L104,"&lt;0")</f>
        <v>3</v>
      </c>
    </row>
    <row r="105" spans="1:14" ht="11.25">
      <c r="A105" s="168" t="s">
        <v>104</v>
      </c>
      <c r="B105" s="170">
        <v>0.32354198951205737</v>
      </c>
      <c r="C105" s="170">
        <v>-0.04289516387983583</v>
      </c>
      <c r="D105" s="170">
        <v>0.5065165859947305</v>
      </c>
      <c r="E105" s="170">
        <v>-0.3282338227430287</v>
      </c>
      <c r="F105" s="170">
        <v>-0.2990925226134218</v>
      </c>
      <c r="G105" s="170">
        <v>0.35886216461965237</v>
      </c>
      <c r="H105" s="170">
        <v>-0.03797917300207054</v>
      </c>
      <c r="I105" s="170">
        <v>-1.766707298404771</v>
      </c>
      <c r="J105" s="170">
        <v>-0.24618257881368577</v>
      </c>
      <c r="K105" s="170">
        <v>-0.3079579667289227</v>
      </c>
      <c r="L105" s="170">
        <v>0.2242342336461951</v>
      </c>
      <c r="M105" s="169">
        <f>COUNTIF(B105:L105,"&gt;0")</f>
        <v>4</v>
      </c>
      <c r="N105" s="169">
        <f>COUNTIF(B105:L105,"&lt;0")</f>
        <v>7</v>
      </c>
    </row>
    <row r="106" spans="1:14" ht="4.5" customHeigh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69"/>
      <c r="N106" s="169"/>
    </row>
    <row r="107" spans="1:14" ht="11.25">
      <c r="A107" s="168" t="s">
        <v>53</v>
      </c>
      <c r="B107" s="170">
        <v>-33.48639540276889</v>
      </c>
      <c r="C107" s="170">
        <v>6.667309219140364</v>
      </c>
      <c r="D107" s="170">
        <v>8.952141792288103</v>
      </c>
      <c r="E107" s="170">
        <v>-12.644810845731442</v>
      </c>
      <c r="F107" s="170">
        <v>-47.929433443110455</v>
      </c>
      <c r="G107" s="170">
        <v>26.042790679204813</v>
      </c>
      <c r="H107" s="170">
        <v>4.099635084037345</v>
      </c>
      <c r="I107" s="170">
        <v>-4289.390549761386</v>
      </c>
      <c r="J107" s="170">
        <v>-48.75765725384731</v>
      </c>
      <c r="K107" s="170">
        <v>-48.75213726490088</v>
      </c>
      <c r="L107" s="170">
        <v>56.05340914871705</v>
      </c>
      <c r="M107" s="169">
        <f aca="true" t="shared" si="10" ref="M107:M113">COUNTIF(B107:L107,"&gt;0")</f>
        <v>5</v>
      </c>
      <c r="N107" s="169">
        <f aca="true" t="shared" si="11" ref="N107:N113">COUNTIF(B107:L107,"&lt;0")</f>
        <v>6</v>
      </c>
    </row>
    <row r="108" spans="1:14" ht="11.25">
      <c r="A108" s="168" t="s">
        <v>54</v>
      </c>
      <c r="B108" s="170">
        <v>10.152607221024844</v>
      </c>
      <c r="C108" s="170">
        <v>78.17351190476191</v>
      </c>
      <c r="D108" s="170">
        <v>18.06753521541186</v>
      </c>
      <c r="E108" s="170">
        <v>5.725599928000458</v>
      </c>
      <c r="F108" s="170">
        <v>-33.225671272890686</v>
      </c>
      <c r="G108" s="170">
        <v>6.336734693877552</v>
      </c>
      <c r="H108" s="170">
        <v>20.17869034406215</v>
      </c>
      <c r="I108" s="170">
        <v>-0.048958265326966455</v>
      </c>
      <c r="J108" s="170">
        <v>50.90196078431372</v>
      </c>
      <c r="K108" s="170">
        <v>5.972866026003391</v>
      </c>
      <c r="L108" s="170">
        <v>5.137501363289346</v>
      </c>
      <c r="M108" s="169">
        <f t="shared" si="10"/>
        <v>9</v>
      </c>
      <c r="N108" s="169">
        <f t="shared" si="11"/>
        <v>2</v>
      </c>
    </row>
    <row r="109" spans="1:14" ht="11.25">
      <c r="A109" s="168" t="s">
        <v>97</v>
      </c>
      <c r="B109" s="170">
        <v>21.076941234175536</v>
      </c>
      <c r="C109" s="170">
        <v>13.944377494258294</v>
      </c>
      <c r="D109" s="170">
        <v>15.417280850980209</v>
      </c>
      <c r="E109" s="170">
        <v>13.582942328810045</v>
      </c>
      <c r="F109" s="170">
        <v>2.2349563318581147</v>
      </c>
      <c r="G109" s="170">
        <v>10.717354050917923</v>
      </c>
      <c r="H109" s="170">
        <v>15.007525273413085</v>
      </c>
      <c r="I109" s="170">
        <v>1.2264093382825028</v>
      </c>
      <c r="J109" s="170">
        <v>12.60518631479112</v>
      </c>
      <c r="K109" s="170">
        <v>216.02057380809543</v>
      </c>
      <c r="L109" s="170">
        <v>9.581353118575384</v>
      </c>
      <c r="M109" s="169">
        <f t="shared" si="10"/>
        <v>11</v>
      </c>
      <c r="N109" s="169">
        <f t="shared" si="11"/>
        <v>0</v>
      </c>
    </row>
    <row r="110" spans="1:14" ht="11.25">
      <c r="A110" s="168" t="s">
        <v>86</v>
      </c>
      <c r="B110" s="170">
        <v>8.351413277520654</v>
      </c>
      <c r="C110" s="170">
        <v>9.941182999403136</v>
      </c>
      <c r="D110" s="170">
        <v>4.842670645278826</v>
      </c>
      <c r="E110" s="170">
        <v>45.11418271285155</v>
      </c>
      <c r="F110" s="170">
        <v>0.15668467205942704</v>
      </c>
      <c r="G110" s="170">
        <v>21.542866378812718</v>
      </c>
      <c r="H110" s="170">
        <v>50.35188878145731</v>
      </c>
      <c r="I110" s="170">
        <v>11.078498853242351</v>
      </c>
      <c r="J110" s="170">
        <v>5.578110207154609</v>
      </c>
      <c r="K110" s="170">
        <v>12.330928828225142</v>
      </c>
      <c r="L110" s="170">
        <v>0.5512189983707856</v>
      </c>
      <c r="M110" s="169">
        <f t="shared" si="10"/>
        <v>11</v>
      </c>
      <c r="N110" s="169">
        <f t="shared" si="11"/>
        <v>0</v>
      </c>
    </row>
    <row r="111" spans="1:14" ht="11.25">
      <c r="A111" s="168" t="s">
        <v>23</v>
      </c>
      <c r="B111" s="170">
        <v>0.16725622570910414</v>
      </c>
      <c r="C111" s="170">
        <v>0.3166580946422366</v>
      </c>
      <c r="D111" s="170">
        <v>0.1605479807009471</v>
      </c>
      <c r="E111" s="170">
        <v>0.4547208671910139</v>
      </c>
      <c r="F111" s="170">
        <v>0.2926397231322586</v>
      </c>
      <c r="G111" s="170">
        <v>-0.033387354291700366</v>
      </c>
      <c r="H111" s="170">
        <v>-0.4590865086152631</v>
      </c>
      <c r="I111" s="170">
        <v>-0.9881459820088503</v>
      </c>
      <c r="J111" s="170">
        <v>0.8547113289760351</v>
      </c>
      <c r="K111" s="170">
        <v>-0.24981188713826274</v>
      </c>
      <c r="L111" s="170">
        <v>-0.011360808597108973</v>
      </c>
      <c r="M111" s="169">
        <f t="shared" si="10"/>
        <v>6</v>
      </c>
      <c r="N111" s="169">
        <f t="shared" si="11"/>
        <v>5</v>
      </c>
    </row>
    <row r="112" spans="1:14" ht="11.25">
      <c r="A112" s="168" t="s">
        <v>49</v>
      </c>
      <c r="B112" s="170">
        <v>15.511585535046702</v>
      </c>
      <c r="C112" s="170">
        <v>12.632596369124254</v>
      </c>
      <c r="D112" s="170">
        <v>15.883451721840833</v>
      </c>
      <c r="E112" s="170">
        <v>3.1420160123560343</v>
      </c>
      <c r="F112" s="170">
        <v>9.766890569812738</v>
      </c>
      <c r="G112" s="170">
        <v>8.047592046151987</v>
      </c>
      <c r="H112" s="170">
        <v>8.146898046088062</v>
      </c>
      <c r="I112" s="170">
        <v>-50.43284434874244</v>
      </c>
      <c r="J112" s="170">
        <v>13.859522742310734</v>
      </c>
      <c r="K112" s="170">
        <v>49.57886211464107</v>
      </c>
      <c r="L112" s="170">
        <v>7.047159891448982</v>
      </c>
      <c r="M112" s="169">
        <f t="shared" si="10"/>
        <v>10</v>
      </c>
      <c r="N112" s="169">
        <f t="shared" si="11"/>
        <v>1</v>
      </c>
    </row>
    <row r="113" spans="1:14" ht="11.25">
      <c r="A113" s="168" t="s">
        <v>50</v>
      </c>
      <c r="B113" s="170">
        <v>11.428546586352883</v>
      </c>
      <c r="C113" s="170">
        <v>10.467800160466876</v>
      </c>
      <c r="D113" s="170">
        <v>6.3859608604618465</v>
      </c>
      <c r="E113" s="170">
        <v>14.665021392471392</v>
      </c>
      <c r="F113" s="170">
        <v>14.233625502310268</v>
      </c>
      <c r="G113" s="170">
        <v>19.79988762920717</v>
      </c>
      <c r="H113" s="170">
        <v>11.074668304998255</v>
      </c>
      <c r="I113" s="170">
        <v>7.3208132641984704</v>
      </c>
      <c r="J113" s="170">
        <v>15.616364961778444</v>
      </c>
      <c r="K113" s="170">
        <v>19.03961955990029</v>
      </c>
      <c r="L113" s="170">
        <v>5.45955763882777</v>
      </c>
      <c r="M113" s="169">
        <f t="shared" si="10"/>
        <v>11</v>
      </c>
      <c r="N113" s="169">
        <f t="shared" si="11"/>
        <v>0</v>
      </c>
    </row>
    <row r="114" spans="2:14" ht="11.25">
      <c r="B114" s="157"/>
      <c r="C114" s="157"/>
      <c r="D114" s="157"/>
      <c r="E114" s="158" t="s">
        <v>17</v>
      </c>
      <c r="F114" s="157"/>
      <c r="G114" s="157"/>
      <c r="H114" s="157"/>
      <c r="I114" s="157"/>
      <c r="J114" s="157"/>
      <c r="K114" s="157"/>
      <c r="L114" s="157"/>
      <c r="M114" s="157"/>
      <c r="N114" s="157"/>
    </row>
    <row r="115" spans="7:14" ht="11.25">
      <c r="G115" s="160" t="s">
        <v>267</v>
      </c>
      <c r="H115" s="157"/>
      <c r="M115" s="157"/>
      <c r="N115" s="157"/>
    </row>
    <row r="116" spans="1:13" ht="16.5" customHeight="1">
      <c r="A116" s="161"/>
      <c r="B116" s="162"/>
      <c r="C116" s="162"/>
      <c r="D116" s="162"/>
      <c r="E116" s="163" t="s">
        <v>292</v>
      </c>
      <c r="F116" s="162"/>
      <c r="G116" s="162"/>
      <c r="H116" s="162"/>
      <c r="I116" s="162"/>
      <c r="J116" s="162"/>
      <c r="K116" s="162"/>
      <c r="L116" s="162"/>
      <c r="M116" s="164"/>
    </row>
    <row r="117" spans="1:16" ht="59.25" customHeight="1">
      <c r="A117" s="200" t="s">
        <v>293</v>
      </c>
      <c r="B117" s="201"/>
      <c r="C117" s="167" t="s">
        <v>286</v>
      </c>
      <c r="D117" s="167" t="s">
        <v>287</v>
      </c>
      <c r="E117" s="167" t="s">
        <v>288</v>
      </c>
      <c r="F117" s="167"/>
      <c r="G117" s="200" t="s">
        <v>293</v>
      </c>
      <c r="H117" s="195"/>
      <c r="I117" s="195"/>
      <c r="J117" s="196"/>
      <c r="K117" s="167" t="s">
        <v>289</v>
      </c>
      <c r="L117" s="167" t="s">
        <v>290</v>
      </c>
      <c r="M117" s="167" t="s">
        <v>291</v>
      </c>
      <c r="N117" s="178"/>
      <c r="O117" s="178"/>
      <c r="P117" s="178"/>
    </row>
    <row r="118" spans="1:16" ht="12.75">
      <c r="A118" s="194" t="s">
        <v>26</v>
      </c>
      <c r="B118" s="196"/>
      <c r="C118" s="181">
        <v>11</v>
      </c>
      <c r="D118" s="181">
        <v>10</v>
      </c>
      <c r="E118" s="181">
        <v>7</v>
      </c>
      <c r="F118" s="169"/>
      <c r="G118" s="194" t="s">
        <v>26</v>
      </c>
      <c r="H118" s="195"/>
      <c r="I118" s="195"/>
      <c r="J118" s="196"/>
      <c r="K118" s="181">
        <v>0</v>
      </c>
      <c r="L118" s="181">
        <v>1</v>
      </c>
      <c r="M118" s="181">
        <v>4</v>
      </c>
      <c r="N118" s="179"/>
      <c r="O118" s="179"/>
      <c r="P118" s="179"/>
    </row>
    <row r="119" spans="1:16" ht="11.25" customHeight="1">
      <c r="A119" s="194" t="s">
        <v>93</v>
      </c>
      <c r="B119" s="196"/>
      <c r="C119" s="181">
        <v>10</v>
      </c>
      <c r="D119" s="181">
        <v>8</v>
      </c>
      <c r="E119" s="181">
        <v>9</v>
      </c>
      <c r="F119" s="169"/>
      <c r="G119" s="194" t="s">
        <v>93</v>
      </c>
      <c r="H119" s="195"/>
      <c r="I119" s="195"/>
      <c r="J119" s="196"/>
      <c r="K119" s="181">
        <v>1</v>
      </c>
      <c r="L119" s="181">
        <v>3</v>
      </c>
      <c r="M119" s="181">
        <v>2</v>
      </c>
      <c r="N119" s="179"/>
      <c r="O119" s="179"/>
      <c r="P119" s="179"/>
    </row>
    <row r="120" spans="1:16" ht="12" customHeight="1">
      <c r="A120" s="194" t="s">
        <v>72</v>
      </c>
      <c r="B120" s="196"/>
      <c r="C120" s="181">
        <v>10</v>
      </c>
      <c r="D120" s="181">
        <v>9</v>
      </c>
      <c r="E120" s="181">
        <v>7</v>
      </c>
      <c r="F120" s="169"/>
      <c r="G120" s="194" t="s">
        <v>72</v>
      </c>
      <c r="H120" s="195"/>
      <c r="I120" s="195"/>
      <c r="J120" s="196"/>
      <c r="K120" s="181">
        <v>1</v>
      </c>
      <c r="L120" s="181">
        <v>2</v>
      </c>
      <c r="M120" s="181">
        <v>4</v>
      </c>
      <c r="N120" s="179"/>
      <c r="O120" s="179"/>
      <c r="P120" s="179"/>
    </row>
    <row r="121" spans="1:16" ht="12" customHeight="1">
      <c r="A121" s="194" t="s">
        <v>35</v>
      </c>
      <c r="B121" s="196"/>
      <c r="C121" s="181">
        <v>9</v>
      </c>
      <c r="D121" s="181">
        <v>8</v>
      </c>
      <c r="E121" s="181">
        <v>6</v>
      </c>
      <c r="F121" s="169"/>
      <c r="G121" s="194" t="s">
        <v>35</v>
      </c>
      <c r="H121" s="195"/>
      <c r="I121" s="195"/>
      <c r="J121" s="196"/>
      <c r="K121" s="181">
        <v>2</v>
      </c>
      <c r="L121" s="181">
        <v>3</v>
      </c>
      <c r="M121" s="181">
        <v>5</v>
      </c>
      <c r="N121" s="179"/>
      <c r="O121" s="179"/>
      <c r="P121" s="179"/>
    </row>
    <row r="122" spans="1:16" ht="10.5" customHeight="1">
      <c r="A122" s="194" t="s">
        <v>100</v>
      </c>
      <c r="B122" s="196"/>
      <c r="C122" s="181">
        <v>9</v>
      </c>
      <c r="D122" s="181">
        <v>9</v>
      </c>
      <c r="E122" s="181">
        <v>8</v>
      </c>
      <c r="F122" s="169"/>
      <c r="G122" s="194" t="s">
        <v>100</v>
      </c>
      <c r="H122" s="195"/>
      <c r="I122" s="195"/>
      <c r="J122" s="196"/>
      <c r="K122" s="181">
        <v>2</v>
      </c>
      <c r="L122" s="181">
        <v>2</v>
      </c>
      <c r="M122" s="181">
        <v>3</v>
      </c>
      <c r="N122" s="179"/>
      <c r="O122" s="179"/>
      <c r="P122" s="179"/>
    </row>
    <row r="123" spans="1:16" ht="6" customHeight="1">
      <c r="A123" s="177"/>
      <c r="B123" s="176"/>
      <c r="C123" s="181"/>
      <c r="D123" s="181"/>
      <c r="E123" s="181"/>
      <c r="F123" s="169"/>
      <c r="G123" s="177"/>
      <c r="H123" s="175"/>
      <c r="I123" s="175"/>
      <c r="J123" s="176"/>
      <c r="K123" s="181"/>
      <c r="L123" s="181"/>
      <c r="M123" s="181"/>
      <c r="N123" s="179"/>
      <c r="O123" s="179"/>
      <c r="P123" s="179"/>
    </row>
    <row r="124" spans="1:16" ht="11.25" customHeight="1">
      <c r="A124" s="194" t="s">
        <v>261</v>
      </c>
      <c r="B124" s="196"/>
      <c r="C124" s="181">
        <v>11</v>
      </c>
      <c r="D124" s="181">
        <v>6</v>
      </c>
      <c r="E124" s="181">
        <v>7</v>
      </c>
      <c r="F124" s="169"/>
      <c r="G124" s="194" t="s">
        <v>261</v>
      </c>
      <c r="H124" s="195"/>
      <c r="I124" s="195"/>
      <c r="J124" s="196"/>
      <c r="K124" s="181">
        <v>0</v>
      </c>
      <c r="L124" s="181">
        <v>5</v>
      </c>
      <c r="M124" s="181">
        <v>4</v>
      </c>
      <c r="N124" s="179"/>
      <c r="O124" s="179"/>
      <c r="P124" s="179"/>
    </row>
    <row r="125" spans="1:16" ht="12.75">
      <c r="A125" s="194" t="s">
        <v>74</v>
      </c>
      <c r="B125" s="196"/>
      <c r="C125" s="181">
        <v>11</v>
      </c>
      <c r="D125" s="181">
        <v>6</v>
      </c>
      <c r="E125" s="181">
        <v>7</v>
      </c>
      <c r="F125" s="169"/>
      <c r="G125" s="194" t="s">
        <v>74</v>
      </c>
      <c r="H125" s="195"/>
      <c r="I125" s="195"/>
      <c r="J125" s="196"/>
      <c r="K125" s="181">
        <v>0</v>
      </c>
      <c r="L125" s="181">
        <v>5</v>
      </c>
      <c r="M125" s="181">
        <v>4</v>
      </c>
      <c r="N125" s="179"/>
      <c r="O125" s="179"/>
      <c r="P125" s="179"/>
    </row>
    <row r="126" spans="1:16" ht="10.5" customHeight="1">
      <c r="A126" s="194" t="s">
        <v>259</v>
      </c>
      <c r="B126" s="196"/>
      <c r="C126" s="181">
        <v>9</v>
      </c>
      <c r="D126" s="181">
        <v>6</v>
      </c>
      <c r="E126" s="181">
        <v>11</v>
      </c>
      <c r="F126" s="169"/>
      <c r="G126" s="194" t="s">
        <v>259</v>
      </c>
      <c r="H126" s="195"/>
      <c r="I126" s="195"/>
      <c r="J126" s="196"/>
      <c r="K126" s="181">
        <v>2</v>
      </c>
      <c r="L126" s="181">
        <v>5</v>
      </c>
      <c r="M126" s="181">
        <v>0</v>
      </c>
      <c r="N126" s="179"/>
      <c r="O126" s="179"/>
      <c r="P126" s="179"/>
    </row>
    <row r="127" spans="1:16" ht="9.75" customHeight="1">
      <c r="A127" s="194" t="s">
        <v>82</v>
      </c>
      <c r="B127" s="196"/>
      <c r="C127" s="181">
        <v>8</v>
      </c>
      <c r="D127" s="181">
        <v>7</v>
      </c>
      <c r="E127" s="181">
        <v>6</v>
      </c>
      <c r="F127" s="169"/>
      <c r="G127" s="194" t="s">
        <v>82</v>
      </c>
      <c r="H127" s="195"/>
      <c r="I127" s="195"/>
      <c r="J127" s="196"/>
      <c r="K127" s="181">
        <v>2</v>
      </c>
      <c r="L127" s="181">
        <v>4</v>
      </c>
      <c r="M127" s="181">
        <v>5</v>
      </c>
      <c r="N127" s="179"/>
      <c r="O127" s="179"/>
      <c r="P127" s="179"/>
    </row>
    <row r="128" spans="1:16" ht="11.25" customHeight="1">
      <c r="A128" s="194" t="s">
        <v>83</v>
      </c>
      <c r="B128" s="196"/>
      <c r="C128" s="181">
        <v>9</v>
      </c>
      <c r="D128" s="181">
        <v>6</v>
      </c>
      <c r="E128" s="181">
        <v>9</v>
      </c>
      <c r="F128" s="169"/>
      <c r="G128" s="194" t="s">
        <v>83</v>
      </c>
      <c r="H128" s="195"/>
      <c r="I128" s="195"/>
      <c r="J128" s="196"/>
      <c r="K128" s="181">
        <v>2</v>
      </c>
      <c r="L128" s="181">
        <v>5</v>
      </c>
      <c r="M128" s="181">
        <v>2</v>
      </c>
      <c r="N128" s="179"/>
      <c r="O128" s="179"/>
      <c r="P128" s="179"/>
    </row>
    <row r="129" spans="1:16" ht="10.5" customHeight="1">
      <c r="A129" s="194" t="s">
        <v>98</v>
      </c>
      <c r="B129" s="196"/>
      <c r="C129" s="181">
        <v>9</v>
      </c>
      <c r="D129" s="181">
        <v>7</v>
      </c>
      <c r="E129" s="181">
        <v>11</v>
      </c>
      <c r="F129" s="169"/>
      <c r="G129" s="194" t="s">
        <v>98</v>
      </c>
      <c r="H129" s="195"/>
      <c r="I129" s="195"/>
      <c r="J129" s="196"/>
      <c r="K129" s="181">
        <v>2</v>
      </c>
      <c r="L129" s="181">
        <v>4</v>
      </c>
      <c r="M129" s="181">
        <v>0</v>
      </c>
      <c r="N129" s="179"/>
      <c r="O129" s="179"/>
      <c r="P129" s="179"/>
    </row>
    <row r="130" spans="1:16" ht="6" customHeight="1">
      <c r="A130" s="177"/>
      <c r="B130" s="176"/>
      <c r="C130" s="181"/>
      <c r="D130" s="181"/>
      <c r="E130" s="181"/>
      <c r="F130" s="169"/>
      <c r="G130" s="177"/>
      <c r="H130" s="175"/>
      <c r="I130" s="175"/>
      <c r="J130" s="176"/>
      <c r="K130" s="181"/>
      <c r="L130" s="181"/>
      <c r="M130" s="181"/>
      <c r="N130" s="179"/>
      <c r="O130" s="179"/>
      <c r="P130" s="179"/>
    </row>
    <row r="131" spans="1:16" ht="10.5" customHeight="1">
      <c r="A131" s="194" t="s">
        <v>257</v>
      </c>
      <c r="B131" s="196"/>
      <c r="C131" s="181">
        <v>6</v>
      </c>
      <c r="D131" s="181">
        <v>7</v>
      </c>
      <c r="E131" s="181">
        <v>11</v>
      </c>
      <c r="F131" s="174"/>
      <c r="G131" s="194" t="s">
        <v>257</v>
      </c>
      <c r="H131" s="195"/>
      <c r="I131" s="195"/>
      <c r="J131" s="196"/>
      <c r="K131" s="181">
        <v>5</v>
      </c>
      <c r="L131" s="181">
        <v>3</v>
      </c>
      <c r="M131" s="181">
        <v>0</v>
      </c>
      <c r="N131" s="180"/>
      <c r="O131" s="179"/>
      <c r="P131" s="179"/>
    </row>
    <row r="132" spans="1:16" ht="11.25" customHeight="1">
      <c r="A132" s="194" t="s">
        <v>258</v>
      </c>
      <c r="B132" s="196"/>
      <c r="C132" s="181">
        <v>6</v>
      </c>
      <c r="D132" s="181">
        <v>6</v>
      </c>
      <c r="E132" s="181">
        <v>11</v>
      </c>
      <c r="F132" s="174"/>
      <c r="G132" s="194" t="s">
        <v>258</v>
      </c>
      <c r="H132" s="195"/>
      <c r="I132" s="195"/>
      <c r="J132" s="196"/>
      <c r="K132" s="181">
        <v>5</v>
      </c>
      <c r="L132" s="181">
        <v>5</v>
      </c>
      <c r="M132" s="181">
        <v>0</v>
      </c>
      <c r="N132" s="180"/>
      <c r="O132" s="179"/>
      <c r="P132" s="179"/>
    </row>
    <row r="133" spans="1:16" ht="6.75" customHeight="1">
      <c r="A133" s="177"/>
      <c r="B133" s="176"/>
      <c r="C133" s="181"/>
      <c r="D133" s="181"/>
      <c r="E133" s="181"/>
      <c r="F133" s="174"/>
      <c r="G133" s="177"/>
      <c r="H133" s="175"/>
      <c r="I133" s="175"/>
      <c r="J133" s="176"/>
      <c r="K133" s="181"/>
      <c r="L133" s="181"/>
      <c r="M133" s="181"/>
      <c r="N133" s="180"/>
      <c r="O133" s="179"/>
      <c r="P133" s="179"/>
    </row>
    <row r="134" spans="1:16" ht="12" customHeight="1">
      <c r="A134" s="194" t="s">
        <v>283</v>
      </c>
      <c r="B134" s="196"/>
      <c r="C134" s="181">
        <v>9</v>
      </c>
      <c r="D134" s="181">
        <v>8</v>
      </c>
      <c r="E134" s="181">
        <v>8</v>
      </c>
      <c r="F134" s="169"/>
      <c r="G134" s="194" t="s">
        <v>283</v>
      </c>
      <c r="H134" s="195"/>
      <c r="I134" s="195"/>
      <c r="J134" s="196"/>
      <c r="K134" s="181">
        <v>1</v>
      </c>
      <c r="L134" s="181">
        <v>3</v>
      </c>
      <c r="M134" s="181">
        <v>3</v>
      </c>
      <c r="N134" s="179"/>
      <c r="O134" s="179"/>
      <c r="P134" s="179"/>
    </row>
    <row r="135" spans="1:16" ht="12.75">
      <c r="A135" s="194" t="s">
        <v>284</v>
      </c>
      <c r="B135" s="196"/>
      <c r="C135" s="181">
        <v>10</v>
      </c>
      <c r="D135" s="181">
        <v>8</v>
      </c>
      <c r="E135" s="181">
        <v>8</v>
      </c>
      <c r="F135" s="169"/>
      <c r="G135" s="194" t="s">
        <v>284</v>
      </c>
      <c r="H135" s="195"/>
      <c r="I135" s="195"/>
      <c r="J135" s="196"/>
      <c r="K135" s="181">
        <v>1</v>
      </c>
      <c r="L135" s="181">
        <v>3</v>
      </c>
      <c r="M135" s="181">
        <v>3</v>
      </c>
      <c r="N135" s="179"/>
      <c r="O135" s="179"/>
      <c r="P135" s="179"/>
    </row>
    <row r="136" spans="1:16" ht="4.5" customHeight="1">
      <c r="A136" s="177"/>
      <c r="B136" s="176"/>
      <c r="C136" s="181"/>
      <c r="D136" s="181"/>
      <c r="E136" s="181"/>
      <c r="F136" s="169"/>
      <c r="G136" s="177"/>
      <c r="H136" s="175"/>
      <c r="I136" s="175"/>
      <c r="J136" s="176"/>
      <c r="K136" s="181"/>
      <c r="L136" s="181"/>
      <c r="M136" s="181"/>
      <c r="N136" s="179"/>
      <c r="O136" s="179"/>
      <c r="P136" s="179"/>
    </row>
    <row r="137" spans="1:16" ht="12.75">
      <c r="A137" s="177" t="s">
        <v>306</v>
      </c>
      <c r="B137" s="176"/>
      <c r="C137" s="181">
        <v>10</v>
      </c>
      <c r="D137" s="181">
        <v>6</v>
      </c>
      <c r="E137" s="181">
        <v>7</v>
      </c>
      <c r="F137" s="169"/>
      <c r="G137" s="177" t="s">
        <v>306</v>
      </c>
      <c r="H137" s="175"/>
      <c r="I137" s="175"/>
      <c r="J137" s="176"/>
      <c r="K137" s="181">
        <v>1</v>
      </c>
      <c r="L137" s="181">
        <v>5</v>
      </c>
      <c r="M137" s="181">
        <v>4</v>
      </c>
      <c r="N137" s="179"/>
      <c r="O137" s="179"/>
      <c r="P137" s="179"/>
    </row>
    <row r="138" spans="1:16" ht="11.25" customHeight="1">
      <c r="A138" s="188" t="s">
        <v>302</v>
      </c>
      <c r="B138" s="176"/>
      <c r="C138" s="181">
        <v>8</v>
      </c>
      <c r="D138" s="181">
        <v>6</v>
      </c>
      <c r="E138" s="181">
        <v>6</v>
      </c>
      <c r="F138" s="169"/>
      <c r="G138" s="177" t="s">
        <v>302</v>
      </c>
      <c r="H138" s="175"/>
      <c r="I138" s="175"/>
      <c r="J138" s="176"/>
      <c r="K138" s="181">
        <v>3</v>
      </c>
      <c r="L138" s="181">
        <v>5</v>
      </c>
      <c r="M138" s="181">
        <v>5</v>
      </c>
      <c r="N138" s="179"/>
      <c r="O138" s="179"/>
      <c r="P138" s="179"/>
    </row>
    <row r="139" spans="1:16" ht="13.5" customHeight="1">
      <c r="A139" s="188" t="s">
        <v>305</v>
      </c>
      <c r="B139" s="176"/>
      <c r="C139" s="181">
        <v>5</v>
      </c>
      <c r="D139" s="181">
        <v>7</v>
      </c>
      <c r="E139" s="181">
        <v>4</v>
      </c>
      <c r="F139" s="169"/>
      <c r="G139" s="188" t="s">
        <v>305</v>
      </c>
      <c r="H139" s="175"/>
      <c r="I139" s="175"/>
      <c r="J139" s="176"/>
      <c r="K139" s="181">
        <v>6</v>
      </c>
      <c r="L139" s="181">
        <v>4</v>
      </c>
      <c r="M139" s="181">
        <v>7</v>
      </c>
      <c r="N139" s="179"/>
      <c r="O139" s="179"/>
      <c r="P139" s="179"/>
    </row>
    <row r="140" spans="1:16" ht="12" customHeight="1">
      <c r="A140" s="194" t="s">
        <v>64</v>
      </c>
      <c r="B140" s="196"/>
      <c r="C140" s="181">
        <v>10</v>
      </c>
      <c r="D140" s="181">
        <v>8</v>
      </c>
      <c r="E140" s="181">
        <v>5</v>
      </c>
      <c r="F140" s="171"/>
      <c r="G140" s="194" t="s">
        <v>64</v>
      </c>
      <c r="H140" s="195"/>
      <c r="I140" s="195"/>
      <c r="J140" s="196"/>
      <c r="K140" s="181">
        <v>1</v>
      </c>
      <c r="L140" s="181">
        <v>3</v>
      </c>
      <c r="M140" s="181">
        <v>6</v>
      </c>
      <c r="N140" s="179"/>
      <c r="O140" s="179"/>
      <c r="P140" s="179"/>
    </row>
    <row r="141" spans="1:16" ht="5.25" customHeight="1">
      <c r="A141" s="177"/>
      <c r="B141" s="176"/>
      <c r="C141" s="181"/>
      <c r="D141" s="181"/>
      <c r="E141" s="181"/>
      <c r="F141" s="171"/>
      <c r="G141" s="177"/>
      <c r="H141" s="175"/>
      <c r="I141" s="175"/>
      <c r="J141" s="176"/>
      <c r="K141" s="181"/>
      <c r="L141" s="181"/>
      <c r="M141" s="181"/>
      <c r="N141" s="179"/>
      <c r="O141" s="179"/>
      <c r="P141" s="179"/>
    </row>
    <row r="142" spans="1:16" ht="12.75">
      <c r="A142" s="194" t="s">
        <v>102</v>
      </c>
      <c r="B142" s="196"/>
      <c r="C142" s="181">
        <v>8</v>
      </c>
      <c r="D142" s="181">
        <v>8</v>
      </c>
      <c r="E142" s="181">
        <v>8</v>
      </c>
      <c r="F142" s="169"/>
      <c r="G142" s="194" t="s">
        <v>102</v>
      </c>
      <c r="H142" s="195"/>
      <c r="I142" s="195"/>
      <c r="J142" s="196"/>
      <c r="K142" s="181">
        <v>3</v>
      </c>
      <c r="L142" s="181">
        <v>3</v>
      </c>
      <c r="M142" s="181">
        <v>3</v>
      </c>
      <c r="N142" s="179"/>
      <c r="O142" s="179"/>
      <c r="P142" s="179"/>
    </row>
    <row r="143" spans="1:16" ht="9.75" customHeight="1">
      <c r="A143" s="194" t="s">
        <v>104</v>
      </c>
      <c r="B143" s="196"/>
      <c r="C143" s="181">
        <v>6</v>
      </c>
      <c r="D143" s="181">
        <v>5</v>
      </c>
      <c r="E143" s="181">
        <v>4</v>
      </c>
      <c r="F143" s="169"/>
      <c r="G143" s="194" t="s">
        <v>104</v>
      </c>
      <c r="H143" s="195"/>
      <c r="I143" s="195"/>
      <c r="J143" s="196"/>
      <c r="K143" s="181">
        <v>5</v>
      </c>
      <c r="L143" s="181">
        <v>6</v>
      </c>
      <c r="M143" s="181">
        <v>7</v>
      </c>
      <c r="N143" s="179"/>
      <c r="O143" s="179"/>
      <c r="P143" s="179"/>
    </row>
    <row r="144" spans="1:16" ht="4.5" customHeight="1">
      <c r="A144" s="177"/>
      <c r="B144" s="176"/>
      <c r="C144" s="181"/>
      <c r="D144" s="181"/>
      <c r="E144" s="181"/>
      <c r="F144" s="169"/>
      <c r="G144" s="177"/>
      <c r="H144" s="175"/>
      <c r="I144" s="175"/>
      <c r="J144" s="176"/>
      <c r="K144" s="181"/>
      <c r="L144" s="181"/>
      <c r="M144" s="181"/>
      <c r="N144" s="179"/>
      <c r="O144" s="179"/>
      <c r="P144" s="179"/>
    </row>
    <row r="145" spans="1:16" ht="10.5" customHeight="1">
      <c r="A145" s="194" t="s">
        <v>53</v>
      </c>
      <c r="B145" s="196"/>
      <c r="C145" s="181">
        <v>2</v>
      </c>
      <c r="D145" s="181">
        <v>5</v>
      </c>
      <c r="E145" s="181">
        <v>5</v>
      </c>
      <c r="F145" s="170"/>
      <c r="G145" s="194" t="s">
        <v>53</v>
      </c>
      <c r="H145" s="195"/>
      <c r="I145" s="195"/>
      <c r="J145" s="196"/>
      <c r="K145" s="181">
        <v>9</v>
      </c>
      <c r="L145" s="181">
        <v>6</v>
      </c>
      <c r="M145" s="181">
        <v>6</v>
      </c>
      <c r="N145" s="180"/>
      <c r="O145" s="179"/>
      <c r="P145" s="179"/>
    </row>
    <row r="146" spans="1:16" ht="12.75">
      <c r="A146" s="194" t="s">
        <v>54</v>
      </c>
      <c r="B146" s="196"/>
      <c r="C146" s="181">
        <v>6</v>
      </c>
      <c r="D146" s="181">
        <v>6</v>
      </c>
      <c r="E146" s="181">
        <v>9</v>
      </c>
      <c r="F146" s="170"/>
      <c r="G146" s="194" t="s">
        <v>54</v>
      </c>
      <c r="H146" s="195"/>
      <c r="I146" s="195"/>
      <c r="J146" s="196"/>
      <c r="K146" s="181">
        <v>4</v>
      </c>
      <c r="L146" s="181">
        <v>5</v>
      </c>
      <c r="M146" s="181">
        <v>2</v>
      </c>
      <c r="N146" s="180"/>
      <c r="O146" s="179"/>
      <c r="P146" s="179"/>
    </row>
    <row r="147" spans="1:16" ht="10.5" customHeight="1">
      <c r="A147" s="194" t="s">
        <v>97</v>
      </c>
      <c r="B147" s="196"/>
      <c r="C147" s="181">
        <v>6</v>
      </c>
      <c r="D147" s="181">
        <v>6</v>
      </c>
      <c r="E147" s="181">
        <v>11</v>
      </c>
      <c r="F147" s="170"/>
      <c r="G147" s="194" t="s">
        <v>97</v>
      </c>
      <c r="H147" s="195"/>
      <c r="I147" s="195"/>
      <c r="J147" s="196"/>
      <c r="K147" s="181">
        <v>5</v>
      </c>
      <c r="L147" s="181">
        <v>5</v>
      </c>
      <c r="M147" s="181">
        <v>0</v>
      </c>
      <c r="N147" s="180"/>
      <c r="O147" s="179"/>
      <c r="P147" s="179"/>
    </row>
    <row r="148" spans="1:16" ht="11.25" customHeight="1">
      <c r="A148" s="194" t="s">
        <v>86</v>
      </c>
      <c r="B148" s="196"/>
      <c r="C148" s="181">
        <v>6</v>
      </c>
      <c r="D148" s="181">
        <v>5</v>
      </c>
      <c r="E148" s="181">
        <v>11</v>
      </c>
      <c r="F148" s="170"/>
      <c r="G148" s="194" t="s">
        <v>86</v>
      </c>
      <c r="H148" s="195"/>
      <c r="I148" s="195"/>
      <c r="J148" s="196"/>
      <c r="K148" s="181">
        <v>5</v>
      </c>
      <c r="L148" s="181">
        <v>6</v>
      </c>
      <c r="M148" s="181">
        <v>0</v>
      </c>
      <c r="N148" s="180"/>
      <c r="O148" s="179"/>
      <c r="P148" s="179"/>
    </row>
    <row r="149" spans="1:16" ht="12.75">
      <c r="A149" s="194" t="s">
        <v>23</v>
      </c>
      <c r="B149" s="196"/>
      <c r="C149" s="181">
        <v>5</v>
      </c>
      <c r="D149" s="181">
        <v>7</v>
      </c>
      <c r="E149" s="181">
        <v>6</v>
      </c>
      <c r="F149" s="170"/>
      <c r="G149" s="194" t="s">
        <v>23</v>
      </c>
      <c r="H149" s="195"/>
      <c r="I149" s="195"/>
      <c r="J149" s="196"/>
      <c r="K149" s="181">
        <v>6</v>
      </c>
      <c r="L149" s="181">
        <v>4</v>
      </c>
      <c r="M149" s="181">
        <v>5</v>
      </c>
      <c r="N149" s="180"/>
      <c r="O149" s="179"/>
      <c r="P149" s="179"/>
    </row>
    <row r="150" spans="1:16" ht="12.75">
      <c r="A150" s="194" t="s">
        <v>49</v>
      </c>
      <c r="B150" s="196"/>
      <c r="C150" s="181">
        <v>5</v>
      </c>
      <c r="D150" s="181">
        <v>4</v>
      </c>
      <c r="E150" s="181">
        <v>10</v>
      </c>
      <c r="F150" s="170"/>
      <c r="G150" s="194" t="s">
        <v>49</v>
      </c>
      <c r="H150" s="195"/>
      <c r="I150" s="195"/>
      <c r="J150" s="196"/>
      <c r="K150" s="181">
        <v>6</v>
      </c>
      <c r="L150" s="181">
        <v>7</v>
      </c>
      <c r="M150" s="181">
        <v>1</v>
      </c>
      <c r="N150" s="180"/>
      <c r="O150" s="179"/>
      <c r="P150" s="179"/>
    </row>
    <row r="151" spans="1:16" ht="12" customHeight="1">
      <c r="A151" s="194" t="s">
        <v>50</v>
      </c>
      <c r="B151" s="196"/>
      <c r="C151" s="181">
        <v>8</v>
      </c>
      <c r="D151" s="181">
        <v>5</v>
      </c>
      <c r="E151" s="181">
        <v>11</v>
      </c>
      <c r="F151" s="170"/>
      <c r="G151" s="194" t="s">
        <v>50</v>
      </c>
      <c r="H151" s="195"/>
      <c r="I151" s="195"/>
      <c r="J151" s="196"/>
      <c r="K151" s="181">
        <v>3</v>
      </c>
      <c r="L151" s="181">
        <v>6</v>
      </c>
      <c r="M151" s="181">
        <v>0</v>
      </c>
      <c r="N151" s="180"/>
      <c r="O151" s="179"/>
      <c r="P151" s="179"/>
    </row>
    <row r="152" spans="2:14" ht="11.25">
      <c r="B152" s="157"/>
      <c r="C152" s="157"/>
      <c r="D152" s="157"/>
      <c r="E152" s="158" t="s">
        <v>17</v>
      </c>
      <c r="F152" s="157"/>
      <c r="G152" s="157"/>
      <c r="H152" s="157"/>
      <c r="I152" s="157"/>
      <c r="J152" s="157"/>
      <c r="K152" s="157"/>
      <c r="L152" s="157"/>
      <c r="M152" s="157"/>
      <c r="N152" s="157"/>
    </row>
    <row r="153" spans="7:14" ht="11.25">
      <c r="G153" s="160" t="s">
        <v>285</v>
      </c>
      <c r="H153" s="157"/>
      <c r="M153" s="157"/>
      <c r="N153" s="157"/>
    </row>
    <row r="154" spans="1:13" ht="12" customHeight="1">
      <c r="A154" s="161"/>
      <c r="B154" s="163" t="s">
        <v>294</v>
      </c>
      <c r="C154" s="162"/>
      <c r="D154" s="162"/>
      <c r="E154" s="162"/>
      <c r="F154" s="162"/>
      <c r="G154" s="164"/>
      <c r="H154" s="183"/>
      <c r="I154" s="183"/>
      <c r="J154" s="183"/>
      <c r="K154" s="183"/>
      <c r="L154" s="183"/>
      <c r="M154" s="183"/>
    </row>
    <row r="155" spans="1:7" ht="44.25" customHeight="1">
      <c r="A155" s="200" t="s">
        <v>293</v>
      </c>
      <c r="B155" s="201"/>
      <c r="C155" s="167" t="s">
        <v>286</v>
      </c>
      <c r="D155" s="167" t="s">
        <v>287</v>
      </c>
      <c r="E155" s="167" t="s">
        <v>288</v>
      </c>
      <c r="F155" s="197" t="s">
        <v>296</v>
      </c>
      <c r="G155" s="198"/>
    </row>
    <row r="156" spans="1:7" ht="10.5" customHeight="1">
      <c r="A156" s="194" t="s">
        <v>26</v>
      </c>
      <c r="B156" s="196"/>
      <c r="C156" s="181">
        <v>1</v>
      </c>
      <c r="D156" s="181">
        <v>2</v>
      </c>
      <c r="E156" s="181">
        <v>3</v>
      </c>
      <c r="F156" s="199" t="s">
        <v>298</v>
      </c>
      <c r="G156" s="196"/>
    </row>
    <row r="157" spans="1:7" ht="10.5" customHeight="1">
      <c r="A157" s="194" t="s">
        <v>93</v>
      </c>
      <c r="B157" s="196"/>
      <c r="C157" s="181">
        <v>1</v>
      </c>
      <c r="D157" s="181">
        <v>2</v>
      </c>
      <c r="E157" s="181">
        <v>3</v>
      </c>
      <c r="F157" s="199" t="s">
        <v>298</v>
      </c>
      <c r="G157" s="196"/>
    </row>
    <row r="158" spans="1:7" ht="10.5" customHeight="1">
      <c r="A158" s="194" t="s">
        <v>72</v>
      </c>
      <c r="B158" s="196"/>
      <c r="C158" s="181">
        <v>3</v>
      </c>
      <c r="D158" s="181">
        <v>2</v>
      </c>
      <c r="E158" s="181">
        <v>1</v>
      </c>
      <c r="F158" s="199" t="s">
        <v>299</v>
      </c>
      <c r="G158" s="196"/>
    </row>
    <row r="159" spans="1:7" ht="10.5" customHeight="1">
      <c r="A159" s="194" t="s">
        <v>35</v>
      </c>
      <c r="B159" s="196"/>
      <c r="C159" s="181">
        <v>3</v>
      </c>
      <c r="D159" s="181">
        <v>2</v>
      </c>
      <c r="E159" s="181">
        <v>1</v>
      </c>
      <c r="F159" s="199" t="s">
        <v>299</v>
      </c>
      <c r="G159" s="196"/>
    </row>
    <row r="160" spans="1:7" ht="11.25" customHeight="1">
      <c r="A160" s="194" t="s">
        <v>100</v>
      </c>
      <c r="B160" s="196"/>
      <c r="C160" s="181">
        <v>1</v>
      </c>
      <c r="D160" s="181">
        <v>2</v>
      </c>
      <c r="E160" s="181">
        <v>3</v>
      </c>
      <c r="F160" s="199" t="s">
        <v>298</v>
      </c>
      <c r="G160" s="196"/>
    </row>
    <row r="161" spans="1:7" ht="4.5" customHeight="1">
      <c r="A161" s="177"/>
      <c r="B161" s="176"/>
      <c r="C161" s="181"/>
      <c r="D161" s="181"/>
      <c r="E161" s="181"/>
      <c r="F161" s="199"/>
      <c r="G161" s="196"/>
    </row>
    <row r="162" spans="1:7" ht="10.5" customHeight="1">
      <c r="A162" s="194" t="s">
        <v>261</v>
      </c>
      <c r="B162" s="196"/>
      <c r="C162" s="181">
        <v>1</v>
      </c>
      <c r="D162" s="181">
        <v>3</v>
      </c>
      <c r="E162" s="181">
        <v>2</v>
      </c>
      <c r="F162" s="199" t="s">
        <v>297</v>
      </c>
      <c r="G162" s="196"/>
    </row>
    <row r="163" spans="1:7" ht="10.5" customHeight="1">
      <c r="A163" s="194" t="s">
        <v>74</v>
      </c>
      <c r="B163" s="196"/>
      <c r="C163" s="181">
        <v>3</v>
      </c>
      <c r="D163" s="181">
        <v>1</v>
      </c>
      <c r="E163" s="181">
        <v>2</v>
      </c>
      <c r="F163" s="199" t="s">
        <v>299</v>
      </c>
      <c r="G163" s="196"/>
    </row>
    <row r="164" spans="1:7" ht="9" customHeight="1">
      <c r="A164" s="194" t="s">
        <v>259</v>
      </c>
      <c r="B164" s="196"/>
      <c r="C164" s="181">
        <v>2</v>
      </c>
      <c r="D164" s="181">
        <v>3</v>
      </c>
      <c r="E164" s="181">
        <v>1</v>
      </c>
      <c r="F164" s="199" t="s">
        <v>297</v>
      </c>
      <c r="G164" s="196"/>
    </row>
    <row r="165" spans="1:7" ht="11.25" customHeight="1">
      <c r="A165" s="194" t="s">
        <v>82</v>
      </c>
      <c r="B165" s="196"/>
      <c r="C165" s="181">
        <v>3</v>
      </c>
      <c r="D165" s="181">
        <v>2</v>
      </c>
      <c r="E165" s="181">
        <v>1</v>
      </c>
      <c r="F165" s="199" t="s">
        <v>299</v>
      </c>
      <c r="G165" s="196"/>
    </row>
    <row r="166" spans="1:7" ht="11.25" customHeight="1">
      <c r="A166" s="194" t="s">
        <v>83</v>
      </c>
      <c r="B166" s="196"/>
      <c r="C166" s="181">
        <v>2</v>
      </c>
      <c r="D166" s="181">
        <v>1</v>
      </c>
      <c r="E166" s="181">
        <v>2</v>
      </c>
      <c r="F166" s="199" t="s">
        <v>299</v>
      </c>
      <c r="G166" s="196"/>
    </row>
    <row r="167" spans="1:7" ht="10.5" customHeight="1">
      <c r="A167" s="194" t="s">
        <v>98</v>
      </c>
      <c r="B167" s="196"/>
      <c r="C167" s="181">
        <v>2</v>
      </c>
      <c r="D167" s="181">
        <v>3</v>
      </c>
      <c r="E167" s="181">
        <v>1</v>
      </c>
      <c r="F167" s="199" t="s">
        <v>297</v>
      </c>
      <c r="G167" s="196"/>
    </row>
    <row r="168" spans="1:7" ht="3" customHeight="1">
      <c r="A168" s="177"/>
      <c r="B168" s="176"/>
      <c r="C168" s="181"/>
      <c r="D168" s="181"/>
      <c r="E168" s="181"/>
      <c r="F168" s="199"/>
      <c r="G168" s="196"/>
    </row>
    <row r="169" spans="1:7" ht="12.75">
      <c r="A169" s="194" t="s">
        <v>257</v>
      </c>
      <c r="B169" s="196"/>
      <c r="C169" s="181">
        <v>3</v>
      </c>
      <c r="D169" s="181">
        <v>2</v>
      </c>
      <c r="E169" s="181">
        <v>1</v>
      </c>
      <c r="F169" s="204" t="s">
        <v>297</v>
      </c>
      <c r="G169" s="196"/>
    </row>
    <row r="170" spans="1:7" ht="12.75">
      <c r="A170" s="194" t="s">
        <v>258</v>
      </c>
      <c r="B170" s="196"/>
      <c r="C170" s="181">
        <v>2</v>
      </c>
      <c r="D170" s="181">
        <v>2</v>
      </c>
      <c r="E170" s="181">
        <v>1</v>
      </c>
      <c r="F170" s="204" t="s">
        <v>297</v>
      </c>
      <c r="G170" s="196"/>
    </row>
    <row r="171" spans="1:7" ht="4.5" customHeight="1">
      <c r="A171" s="177"/>
      <c r="B171" s="176"/>
      <c r="C171" s="181"/>
      <c r="D171" s="181"/>
      <c r="E171" s="181"/>
      <c r="F171" s="204"/>
      <c r="G171" s="196"/>
    </row>
    <row r="172" spans="1:7" ht="12.75">
      <c r="A172" s="194" t="s">
        <v>283</v>
      </c>
      <c r="B172" s="196"/>
      <c r="C172" s="181">
        <v>1</v>
      </c>
      <c r="D172" s="181">
        <v>2</v>
      </c>
      <c r="E172" s="181">
        <v>2</v>
      </c>
      <c r="F172" s="199" t="s">
        <v>297</v>
      </c>
      <c r="G172" s="196"/>
    </row>
    <row r="173" spans="1:7" ht="12.75">
      <c r="A173" s="194" t="s">
        <v>284</v>
      </c>
      <c r="B173" s="196"/>
      <c r="C173" s="181">
        <v>1</v>
      </c>
      <c r="D173" s="181">
        <v>2</v>
      </c>
      <c r="E173" s="181">
        <v>2</v>
      </c>
      <c r="F173" s="199" t="s">
        <v>297</v>
      </c>
      <c r="G173" s="196"/>
    </row>
    <row r="174" spans="1:8" ht="5.25" customHeight="1">
      <c r="A174" s="177"/>
      <c r="B174" s="176"/>
      <c r="C174" s="181"/>
      <c r="D174" s="181"/>
      <c r="E174" s="181"/>
      <c r="F174" s="199"/>
      <c r="G174" s="196"/>
      <c r="H174" s="154" t="s">
        <v>17</v>
      </c>
    </row>
    <row r="175" spans="1:7" ht="9.75" customHeight="1">
      <c r="A175" s="177" t="s">
        <v>306</v>
      </c>
      <c r="B175" s="176"/>
      <c r="C175" s="181">
        <v>1</v>
      </c>
      <c r="D175" s="181">
        <v>3</v>
      </c>
      <c r="E175" s="181">
        <v>2</v>
      </c>
      <c r="F175" s="187" t="s">
        <v>297</v>
      </c>
      <c r="G175" s="176"/>
    </row>
    <row r="176" spans="1:7" ht="11.25" customHeight="1">
      <c r="A176" s="188" t="s">
        <v>302</v>
      </c>
      <c r="B176" s="176"/>
      <c r="C176" s="181">
        <v>2</v>
      </c>
      <c r="D176" s="181">
        <v>1</v>
      </c>
      <c r="E176" s="181">
        <v>1</v>
      </c>
      <c r="F176" s="187" t="s">
        <v>299</v>
      </c>
      <c r="G176" s="176"/>
    </row>
    <row r="177" spans="1:7" ht="11.25" customHeight="1">
      <c r="A177" s="188" t="s">
        <v>305</v>
      </c>
      <c r="B177" s="176"/>
      <c r="C177" s="181">
        <v>2</v>
      </c>
      <c r="D177" s="181">
        <v>1</v>
      </c>
      <c r="E177" s="181">
        <v>3</v>
      </c>
      <c r="F177" s="187" t="s">
        <v>297</v>
      </c>
      <c r="G177" s="176"/>
    </row>
    <row r="178" spans="1:7" ht="12.75">
      <c r="A178" s="194" t="s">
        <v>64</v>
      </c>
      <c r="B178" s="196"/>
      <c r="C178" s="181">
        <v>1</v>
      </c>
      <c r="D178" s="181">
        <v>2</v>
      </c>
      <c r="E178" s="181">
        <v>3</v>
      </c>
      <c r="F178" s="205" t="s">
        <v>297</v>
      </c>
      <c r="G178" s="196"/>
    </row>
    <row r="179" spans="1:7" ht="4.5" customHeight="1">
      <c r="A179" s="177"/>
      <c r="B179" s="176"/>
      <c r="C179" s="181"/>
      <c r="D179" s="181"/>
      <c r="E179" s="181"/>
      <c r="F179" s="205"/>
      <c r="G179" s="196"/>
    </row>
    <row r="180" spans="1:7" ht="12.75">
      <c r="A180" s="194" t="s">
        <v>102</v>
      </c>
      <c r="B180" s="196"/>
      <c r="C180" s="181">
        <v>1</v>
      </c>
      <c r="D180" s="181">
        <v>1</v>
      </c>
      <c r="E180" s="181">
        <v>1</v>
      </c>
      <c r="F180" s="199" t="s">
        <v>297</v>
      </c>
      <c r="G180" s="196"/>
    </row>
    <row r="181" spans="1:7" ht="12.75">
      <c r="A181" s="194" t="s">
        <v>104</v>
      </c>
      <c r="B181" s="196"/>
      <c r="C181" s="181">
        <v>1</v>
      </c>
      <c r="D181" s="181">
        <v>2</v>
      </c>
      <c r="E181" s="181">
        <v>3</v>
      </c>
      <c r="F181" s="199" t="s">
        <v>297</v>
      </c>
      <c r="G181" s="196"/>
    </row>
    <row r="182" spans="1:7" ht="3.75" customHeight="1">
      <c r="A182" s="177"/>
      <c r="B182" s="176"/>
      <c r="C182" s="181"/>
      <c r="D182" s="181"/>
      <c r="E182" s="181"/>
      <c r="F182" s="199"/>
      <c r="G182" s="196"/>
    </row>
    <row r="183" spans="1:7" ht="12.75">
      <c r="A183" s="194" t="s">
        <v>53</v>
      </c>
      <c r="B183" s="196"/>
      <c r="C183" s="181">
        <v>1</v>
      </c>
      <c r="D183" s="181">
        <v>2</v>
      </c>
      <c r="E183" s="181">
        <v>2</v>
      </c>
      <c r="F183" s="206" t="s">
        <v>299</v>
      </c>
      <c r="G183" s="196"/>
    </row>
    <row r="184" spans="1:7" ht="12.75">
      <c r="A184" s="194" t="s">
        <v>54</v>
      </c>
      <c r="B184" s="196"/>
      <c r="C184" s="181">
        <v>2</v>
      </c>
      <c r="D184" s="181">
        <v>3</v>
      </c>
      <c r="E184" s="181">
        <v>1</v>
      </c>
      <c r="F184" s="206" t="s">
        <v>297</v>
      </c>
      <c r="G184" s="196"/>
    </row>
    <row r="185" spans="1:7" ht="12.75">
      <c r="A185" s="194" t="s">
        <v>97</v>
      </c>
      <c r="B185" s="196"/>
      <c r="C185" s="181">
        <v>2</v>
      </c>
      <c r="D185" s="181">
        <v>2</v>
      </c>
      <c r="E185" s="181">
        <v>1</v>
      </c>
      <c r="F185" s="206" t="s">
        <v>297</v>
      </c>
      <c r="G185" s="196"/>
    </row>
    <row r="186" spans="1:7" ht="12.75">
      <c r="A186" s="194" t="s">
        <v>86</v>
      </c>
      <c r="B186" s="196"/>
      <c r="C186" s="181">
        <v>2</v>
      </c>
      <c r="D186" s="181">
        <v>3</v>
      </c>
      <c r="E186" s="181">
        <v>1</v>
      </c>
      <c r="F186" s="206" t="s">
        <v>297</v>
      </c>
      <c r="G186" s="196"/>
    </row>
    <row r="187" spans="1:7" ht="12.75">
      <c r="A187" s="194" t="s">
        <v>23</v>
      </c>
      <c r="B187" s="196"/>
      <c r="C187" s="181">
        <v>3</v>
      </c>
      <c r="D187" s="181">
        <v>1</v>
      </c>
      <c r="E187" s="181">
        <v>2</v>
      </c>
      <c r="F187" s="206" t="s">
        <v>297</v>
      </c>
      <c r="G187" s="196"/>
    </row>
    <row r="188" spans="1:7" ht="12.75">
      <c r="A188" s="194" t="s">
        <v>49</v>
      </c>
      <c r="B188" s="196"/>
      <c r="C188" s="181">
        <v>2</v>
      </c>
      <c r="D188" s="181">
        <v>3</v>
      </c>
      <c r="E188" s="181">
        <v>1</v>
      </c>
      <c r="F188" s="206" t="s">
        <v>297</v>
      </c>
      <c r="G188" s="196"/>
    </row>
    <row r="189" spans="1:7" ht="13.5" thickBot="1">
      <c r="A189" s="202" t="s">
        <v>50</v>
      </c>
      <c r="B189" s="203"/>
      <c r="C189" s="184">
        <v>2</v>
      </c>
      <c r="D189" s="184">
        <v>3</v>
      </c>
      <c r="E189" s="184">
        <v>1</v>
      </c>
      <c r="F189" s="206" t="s">
        <v>297</v>
      </c>
      <c r="G189" s="196"/>
    </row>
    <row r="190" spans="1:14" ht="12.75" thickBot="1" thickTop="1">
      <c r="A190" s="185" t="s">
        <v>300</v>
      </c>
      <c r="B190" s="186"/>
      <c r="C190" s="190">
        <f>SUM(C156:C189)</f>
        <v>51</v>
      </c>
      <c r="D190" s="190">
        <f>SUM(D156:D189)</f>
        <v>58</v>
      </c>
      <c r="E190" s="190">
        <f>SUM(E156:E189)</f>
        <v>48</v>
      </c>
      <c r="F190" s="157"/>
      <c r="H190" s="157"/>
      <c r="I190" s="157"/>
      <c r="J190" s="157"/>
      <c r="K190" s="157"/>
      <c r="L190" s="157"/>
      <c r="M190" s="157"/>
      <c r="N190" s="157"/>
    </row>
    <row r="191" spans="1:14" ht="12.75" thickBot="1" thickTop="1">
      <c r="A191" s="185" t="s">
        <v>303</v>
      </c>
      <c r="B191" s="189"/>
      <c r="C191" s="190">
        <v>2</v>
      </c>
      <c r="D191" s="190">
        <v>3</v>
      </c>
      <c r="E191" s="190">
        <v>1</v>
      </c>
      <c r="F191" s="157"/>
      <c r="G191" s="157" t="s">
        <v>301</v>
      </c>
      <c r="H191" s="157"/>
      <c r="I191" s="157"/>
      <c r="J191" s="157"/>
      <c r="K191" s="157"/>
      <c r="L191" s="157"/>
      <c r="M191" s="157"/>
      <c r="N191" s="157"/>
    </row>
    <row r="192" spans="8:14" ht="12" thickTop="1">
      <c r="H192" s="157"/>
      <c r="M192" s="157"/>
      <c r="N192" s="157"/>
    </row>
    <row r="193" ht="11.25">
      <c r="G193" s="160" t="s">
        <v>295</v>
      </c>
    </row>
  </sheetData>
  <mergeCells count="110">
    <mergeCell ref="F188:G188"/>
    <mergeCell ref="F189:G189"/>
    <mergeCell ref="F184:G184"/>
    <mergeCell ref="F185:G185"/>
    <mergeCell ref="F186:G186"/>
    <mergeCell ref="F187:G187"/>
    <mergeCell ref="F180:G180"/>
    <mergeCell ref="F181:G181"/>
    <mergeCell ref="F182:G182"/>
    <mergeCell ref="F183:G183"/>
    <mergeCell ref="F173:G173"/>
    <mergeCell ref="F174:G174"/>
    <mergeCell ref="F178:G178"/>
    <mergeCell ref="F179:G179"/>
    <mergeCell ref="F169:G169"/>
    <mergeCell ref="F170:G170"/>
    <mergeCell ref="F171:G171"/>
    <mergeCell ref="F172:G172"/>
    <mergeCell ref="F165:G165"/>
    <mergeCell ref="F166:G166"/>
    <mergeCell ref="F167:G167"/>
    <mergeCell ref="F168:G168"/>
    <mergeCell ref="F161:G161"/>
    <mergeCell ref="F162:G162"/>
    <mergeCell ref="F163:G163"/>
    <mergeCell ref="F164:G164"/>
    <mergeCell ref="F157:G157"/>
    <mergeCell ref="F158:G158"/>
    <mergeCell ref="F159:G159"/>
    <mergeCell ref="F160:G160"/>
    <mergeCell ref="A188:B188"/>
    <mergeCell ref="A189:B189"/>
    <mergeCell ref="A186:B186"/>
    <mergeCell ref="A187:B187"/>
    <mergeCell ref="A184:B184"/>
    <mergeCell ref="A185:B185"/>
    <mergeCell ref="A181:B181"/>
    <mergeCell ref="A183:B183"/>
    <mergeCell ref="A178:B178"/>
    <mergeCell ref="A180:B180"/>
    <mergeCell ref="A172:B172"/>
    <mergeCell ref="A173:B173"/>
    <mergeCell ref="A169:B169"/>
    <mergeCell ref="A170:B170"/>
    <mergeCell ref="A166:B166"/>
    <mergeCell ref="A167:B167"/>
    <mergeCell ref="A164:B164"/>
    <mergeCell ref="A165:B165"/>
    <mergeCell ref="A162:B162"/>
    <mergeCell ref="A163:B163"/>
    <mergeCell ref="A148:B148"/>
    <mergeCell ref="A159:B159"/>
    <mergeCell ref="A160:B160"/>
    <mergeCell ref="A157:B157"/>
    <mergeCell ref="A158:B158"/>
    <mergeCell ref="A156:B156"/>
    <mergeCell ref="A142:B142"/>
    <mergeCell ref="A143:B143"/>
    <mergeCell ref="A140:B140"/>
    <mergeCell ref="A155:B155"/>
    <mergeCell ref="A149:B149"/>
    <mergeCell ref="A150:B150"/>
    <mergeCell ref="A151:B151"/>
    <mergeCell ref="A145:B145"/>
    <mergeCell ref="A146:B146"/>
    <mergeCell ref="A147:B147"/>
    <mergeCell ref="A134:B134"/>
    <mergeCell ref="A135:B135"/>
    <mergeCell ref="A131:B131"/>
    <mergeCell ref="A132:B132"/>
    <mergeCell ref="A126:B126"/>
    <mergeCell ref="A127:B127"/>
    <mergeCell ref="A128:B128"/>
    <mergeCell ref="A129:B129"/>
    <mergeCell ref="A121:B121"/>
    <mergeCell ref="A122:B122"/>
    <mergeCell ref="A124:B124"/>
    <mergeCell ref="A125:B125"/>
    <mergeCell ref="A117:B117"/>
    <mergeCell ref="A118:B118"/>
    <mergeCell ref="A119:B119"/>
    <mergeCell ref="A120:B120"/>
    <mergeCell ref="G121:J121"/>
    <mergeCell ref="G122:J122"/>
    <mergeCell ref="G124:J124"/>
    <mergeCell ref="G151:J151"/>
    <mergeCell ref="G147:J147"/>
    <mergeCell ref="G134:J134"/>
    <mergeCell ref="G146:J146"/>
    <mergeCell ref="G140:J140"/>
    <mergeCell ref="G142:J142"/>
    <mergeCell ref="G131:J131"/>
    <mergeCell ref="G117:J117"/>
    <mergeCell ref="G118:J118"/>
    <mergeCell ref="G119:J119"/>
    <mergeCell ref="G120:J120"/>
    <mergeCell ref="F155:G155"/>
    <mergeCell ref="F156:G156"/>
    <mergeCell ref="G125:J125"/>
    <mergeCell ref="G126:J126"/>
    <mergeCell ref="G127:J127"/>
    <mergeCell ref="G128:J128"/>
    <mergeCell ref="G148:J148"/>
    <mergeCell ref="G149:J149"/>
    <mergeCell ref="G150:J150"/>
    <mergeCell ref="G129:J129"/>
    <mergeCell ref="G132:J132"/>
    <mergeCell ref="G143:J143"/>
    <mergeCell ref="G145:J145"/>
    <mergeCell ref="G135:J13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32"/>
  <sheetViews>
    <sheetView workbookViewId="0" topLeftCell="A105">
      <selection activeCell="M105" sqref="M105"/>
    </sheetView>
  </sheetViews>
  <sheetFormatPr defaultColWidth="9.140625" defaultRowHeight="12.75"/>
  <cols>
    <col min="2" max="2" width="22.140625" style="122" customWidth="1"/>
    <col min="3" max="4" width="4.00390625" style="0" customWidth="1"/>
    <col min="5" max="5" width="5.00390625" style="0" customWidth="1"/>
    <col min="6" max="6" width="3.7109375" style="0" customWidth="1"/>
    <col min="7" max="7" width="4.28125" style="0" customWidth="1"/>
    <col min="8" max="8" width="4.140625" style="0" customWidth="1"/>
    <col min="9" max="9" width="4.57421875" style="0" customWidth="1"/>
    <col min="10" max="10" width="4.28125" style="0" customWidth="1"/>
    <col min="11" max="11" width="4.57421875" style="0" customWidth="1"/>
    <col min="14" max="14" width="23.140625" style="0" customWidth="1"/>
  </cols>
  <sheetData>
    <row r="1" spans="5:17" ht="12.75">
      <c r="E1" s="122" t="s">
        <v>168</v>
      </c>
      <c r="P1" s="122" t="s">
        <v>17</v>
      </c>
      <c r="Q1" s="122" t="s">
        <v>17</v>
      </c>
    </row>
    <row r="3" spans="2:12" s="123" customFormat="1" ht="153" customHeight="1">
      <c r="B3" s="124" t="s">
        <v>169</v>
      </c>
      <c r="C3" s="125" t="s">
        <v>170</v>
      </c>
      <c r="D3" s="125" t="s">
        <v>195</v>
      </c>
      <c r="E3" s="125" t="s">
        <v>181</v>
      </c>
      <c r="F3" s="125" t="s">
        <v>182</v>
      </c>
      <c r="G3" s="125" t="s">
        <v>183</v>
      </c>
      <c r="H3" s="125" t="s">
        <v>187</v>
      </c>
      <c r="I3" s="125" t="s">
        <v>171</v>
      </c>
      <c r="J3" s="125" t="s">
        <v>172</v>
      </c>
      <c r="K3" s="125" t="s">
        <v>173</v>
      </c>
      <c r="L3" s="124" t="s">
        <v>191</v>
      </c>
    </row>
    <row r="4" spans="2:12" ht="12.75">
      <c r="B4" s="127" t="s">
        <v>174</v>
      </c>
      <c r="C4" s="126" t="s">
        <v>38</v>
      </c>
      <c r="D4" s="126"/>
      <c r="E4" s="126"/>
      <c r="F4" s="126"/>
      <c r="G4" s="126"/>
      <c r="H4" s="126"/>
      <c r="I4" s="126"/>
      <c r="J4" s="126"/>
      <c r="K4" s="126"/>
      <c r="L4" s="126"/>
    </row>
    <row r="5" spans="2:12" ht="12.75">
      <c r="B5" s="127" t="s">
        <v>175</v>
      </c>
      <c r="C5" s="126" t="s">
        <v>38</v>
      </c>
      <c r="D5" s="126"/>
      <c r="E5" s="126" t="s">
        <v>176</v>
      </c>
      <c r="F5" s="126" t="s">
        <v>176</v>
      </c>
      <c r="G5" s="126"/>
      <c r="H5" s="126"/>
      <c r="I5" s="126"/>
      <c r="J5" s="126"/>
      <c r="K5" s="126"/>
      <c r="L5" s="126"/>
    </row>
    <row r="6" spans="2:12" ht="12.75">
      <c r="B6" s="127" t="s">
        <v>177</v>
      </c>
      <c r="C6" s="126" t="s">
        <v>38</v>
      </c>
      <c r="D6" s="126"/>
      <c r="E6" s="126" t="s">
        <v>17</v>
      </c>
      <c r="F6" s="126" t="s">
        <v>176</v>
      </c>
      <c r="G6" s="126" t="s">
        <v>176</v>
      </c>
      <c r="H6" s="126" t="s">
        <v>176</v>
      </c>
      <c r="I6" s="126"/>
      <c r="J6" s="126"/>
      <c r="K6" s="126"/>
      <c r="L6" s="126"/>
    </row>
    <row r="7" spans="2:12" ht="12.75">
      <c r="B7" s="127" t="s">
        <v>178</v>
      </c>
      <c r="C7" s="126" t="s">
        <v>38</v>
      </c>
      <c r="D7" s="126"/>
      <c r="E7" s="126" t="s">
        <v>176</v>
      </c>
      <c r="F7" s="126" t="s">
        <v>176</v>
      </c>
      <c r="G7" s="126" t="s">
        <v>176</v>
      </c>
      <c r="H7" s="126"/>
      <c r="I7" s="126"/>
      <c r="J7" s="126"/>
      <c r="K7" s="126"/>
      <c r="L7" s="126"/>
    </row>
    <row r="8" spans="2:12" ht="12.75">
      <c r="B8" s="127" t="s">
        <v>179</v>
      </c>
      <c r="C8" s="126" t="s">
        <v>38</v>
      </c>
      <c r="D8" s="126"/>
      <c r="E8" s="126" t="s">
        <v>176</v>
      </c>
      <c r="F8" s="126" t="s">
        <v>176</v>
      </c>
      <c r="G8" s="126"/>
      <c r="H8" s="126"/>
      <c r="I8" s="126"/>
      <c r="J8" s="126"/>
      <c r="K8" s="126"/>
      <c r="L8" s="126"/>
    </row>
    <row r="9" spans="2:12" ht="12.75">
      <c r="B9" s="127" t="s">
        <v>180</v>
      </c>
      <c r="C9" s="126" t="s">
        <v>38</v>
      </c>
      <c r="D9" s="126"/>
      <c r="E9" s="126" t="s">
        <v>176</v>
      </c>
      <c r="F9" s="126" t="s">
        <v>176</v>
      </c>
      <c r="G9" s="126" t="s">
        <v>176</v>
      </c>
      <c r="H9" s="126"/>
      <c r="I9" s="126"/>
      <c r="J9" s="126"/>
      <c r="K9" s="126"/>
      <c r="L9" s="126"/>
    </row>
    <row r="10" spans="2:12" ht="12.75">
      <c r="B10" s="127" t="s">
        <v>184</v>
      </c>
      <c r="C10" s="126" t="s">
        <v>38</v>
      </c>
      <c r="D10" s="126"/>
      <c r="E10" s="126" t="s">
        <v>176</v>
      </c>
      <c r="F10" s="126" t="s">
        <v>176</v>
      </c>
      <c r="G10" s="126" t="s">
        <v>176</v>
      </c>
      <c r="H10" s="126"/>
      <c r="I10" s="126"/>
      <c r="J10" s="126"/>
      <c r="K10" s="126"/>
      <c r="L10" s="126"/>
    </row>
    <row r="11" spans="2:12" ht="12.75">
      <c r="B11" s="127" t="s">
        <v>185</v>
      </c>
      <c r="C11" s="126" t="s">
        <v>38</v>
      </c>
      <c r="D11" s="126"/>
      <c r="E11" s="126"/>
      <c r="F11" s="126"/>
      <c r="G11" s="126" t="s">
        <v>176</v>
      </c>
      <c r="H11" s="126" t="s">
        <v>176</v>
      </c>
      <c r="I11" s="126"/>
      <c r="J11" s="126"/>
      <c r="K11" s="126"/>
      <c r="L11" s="126"/>
    </row>
    <row r="12" spans="2:12" ht="12.75">
      <c r="B12" s="127" t="s">
        <v>186</v>
      </c>
      <c r="C12" s="126" t="s">
        <v>38</v>
      </c>
      <c r="D12" s="126"/>
      <c r="E12" s="126" t="s">
        <v>176</v>
      </c>
      <c r="F12" s="126" t="s">
        <v>176</v>
      </c>
      <c r="G12" s="126" t="s">
        <v>176</v>
      </c>
      <c r="H12" s="126" t="s">
        <v>176</v>
      </c>
      <c r="I12" s="126"/>
      <c r="J12" s="126"/>
      <c r="K12" s="126"/>
      <c r="L12" s="126"/>
    </row>
    <row r="13" spans="2:12" ht="12.75">
      <c r="B13" s="127" t="s">
        <v>188</v>
      </c>
      <c r="C13" s="126" t="s">
        <v>38</v>
      </c>
      <c r="D13" s="126"/>
      <c r="E13" s="126"/>
      <c r="F13" s="126"/>
      <c r="G13" s="126"/>
      <c r="H13" s="126" t="s">
        <v>176</v>
      </c>
      <c r="I13" s="126"/>
      <c r="J13" s="126"/>
      <c r="K13" s="126"/>
      <c r="L13" s="126"/>
    </row>
    <row r="14" spans="2:12" ht="12.75">
      <c r="B14" s="128" t="s">
        <v>189</v>
      </c>
      <c r="C14" s="129" t="s">
        <v>38</v>
      </c>
      <c r="D14" s="129"/>
      <c r="E14" s="129"/>
      <c r="F14" s="129"/>
      <c r="G14" s="129"/>
      <c r="H14" s="129" t="s">
        <v>176</v>
      </c>
      <c r="I14" s="129"/>
      <c r="J14" s="129"/>
      <c r="K14" s="129"/>
      <c r="L14" s="126"/>
    </row>
    <row r="15" spans="2:12" ht="12.75">
      <c r="B15" s="127" t="s">
        <v>190</v>
      </c>
      <c r="C15" s="126"/>
      <c r="D15" s="127">
        <f>COUNTA(D4:D14)</f>
        <v>0</v>
      </c>
      <c r="E15" s="127">
        <f>COUNTA(E4:E14)</f>
        <v>7</v>
      </c>
      <c r="F15" s="127">
        <f aca="true" t="shared" si="0" ref="F15:K15">COUNTA(F4:F14)</f>
        <v>7</v>
      </c>
      <c r="G15" s="127">
        <f t="shared" si="0"/>
        <v>6</v>
      </c>
      <c r="H15" s="127">
        <f t="shared" si="0"/>
        <v>5</v>
      </c>
      <c r="I15" s="127">
        <f t="shared" si="0"/>
        <v>0</v>
      </c>
      <c r="J15" s="127">
        <f t="shared" si="0"/>
        <v>0</v>
      </c>
      <c r="K15" s="127">
        <f t="shared" si="0"/>
        <v>0</v>
      </c>
      <c r="L15" s="127">
        <f>SUM(E15:K15)</f>
        <v>25</v>
      </c>
    </row>
    <row r="17" ht="12.75">
      <c r="L17" s="121"/>
    </row>
    <row r="44" ht="12.75">
      <c r="E44" s="152" t="s">
        <v>254</v>
      </c>
    </row>
    <row r="45" ht="12.75">
      <c r="E45" s="122" t="s">
        <v>192</v>
      </c>
    </row>
    <row r="47" spans="2:13" ht="153">
      <c r="B47" s="124" t="s">
        <v>169</v>
      </c>
      <c r="C47" s="125" t="s">
        <v>170</v>
      </c>
      <c r="D47" s="125" t="s">
        <v>195</v>
      </c>
      <c r="E47" s="125" t="s">
        <v>181</v>
      </c>
      <c r="F47" s="125" t="s">
        <v>182</v>
      </c>
      <c r="G47" s="125" t="s">
        <v>183</v>
      </c>
      <c r="H47" s="125" t="s">
        <v>187</v>
      </c>
      <c r="I47" s="125" t="s">
        <v>171</v>
      </c>
      <c r="J47" s="125" t="s">
        <v>172</v>
      </c>
      <c r="K47" s="125" t="s">
        <v>173</v>
      </c>
      <c r="L47" s="124" t="s">
        <v>191</v>
      </c>
      <c r="M47" s="123"/>
    </row>
    <row r="48" spans="2:12" ht="12.75">
      <c r="B48" s="127" t="s">
        <v>193</v>
      </c>
      <c r="C48" s="126" t="s">
        <v>68</v>
      </c>
      <c r="D48" s="126"/>
      <c r="E48" s="126"/>
      <c r="F48" s="126" t="s">
        <v>176</v>
      </c>
      <c r="G48" s="126" t="s">
        <v>176</v>
      </c>
      <c r="H48" s="126" t="s">
        <v>176</v>
      </c>
      <c r="I48" s="126" t="s">
        <v>176</v>
      </c>
      <c r="J48" s="126" t="s">
        <v>176</v>
      </c>
      <c r="K48" s="126" t="s">
        <v>176</v>
      </c>
      <c r="L48" s="126"/>
    </row>
    <row r="49" spans="2:12" ht="12.75">
      <c r="B49" s="127" t="s">
        <v>194</v>
      </c>
      <c r="C49" s="126" t="s">
        <v>68</v>
      </c>
      <c r="D49" s="126" t="s">
        <v>176</v>
      </c>
      <c r="E49" s="126" t="s">
        <v>176</v>
      </c>
      <c r="F49" s="126"/>
      <c r="G49" s="126" t="s">
        <v>176</v>
      </c>
      <c r="H49" s="126"/>
      <c r="I49" s="126" t="s">
        <v>176</v>
      </c>
      <c r="J49" s="126" t="s">
        <v>176</v>
      </c>
      <c r="K49" s="126" t="s">
        <v>176</v>
      </c>
      <c r="L49" s="126"/>
    </row>
    <row r="50" spans="2:12" ht="12.75">
      <c r="B50" s="127" t="s">
        <v>196</v>
      </c>
      <c r="C50" s="126" t="s">
        <v>68</v>
      </c>
      <c r="D50" s="126" t="s">
        <v>176</v>
      </c>
      <c r="E50" s="126" t="s">
        <v>176</v>
      </c>
      <c r="F50" s="126"/>
      <c r="G50" s="126"/>
      <c r="H50" s="126"/>
      <c r="I50" s="126" t="s">
        <v>176</v>
      </c>
      <c r="J50" s="126" t="s">
        <v>176</v>
      </c>
      <c r="K50" s="126" t="s">
        <v>176</v>
      </c>
      <c r="L50" s="126"/>
    </row>
    <row r="51" spans="2:12" ht="12.75">
      <c r="B51" s="127" t="s">
        <v>197</v>
      </c>
      <c r="C51" s="126" t="s">
        <v>68</v>
      </c>
      <c r="D51" s="126"/>
      <c r="E51" s="126"/>
      <c r="F51" s="126" t="s">
        <v>176</v>
      </c>
      <c r="G51" s="126" t="s">
        <v>176</v>
      </c>
      <c r="H51" s="126"/>
      <c r="I51" s="126"/>
      <c r="J51" s="126" t="s">
        <v>176</v>
      </c>
      <c r="K51" s="126" t="s">
        <v>176</v>
      </c>
      <c r="L51" s="126"/>
    </row>
    <row r="52" spans="2:12" ht="12.75">
      <c r="B52" s="127" t="s">
        <v>198</v>
      </c>
      <c r="C52" s="126" t="s">
        <v>68</v>
      </c>
      <c r="D52" s="126"/>
      <c r="E52" s="126"/>
      <c r="F52" s="126"/>
      <c r="G52" s="126"/>
      <c r="H52" s="126"/>
      <c r="I52" s="126" t="s">
        <v>176</v>
      </c>
      <c r="J52" s="126" t="s">
        <v>176</v>
      </c>
      <c r="K52" s="126" t="s">
        <v>176</v>
      </c>
      <c r="L52" s="126"/>
    </row>
    <row r="53" spans="2:12" ht="12.75">
      <c r="B53" s="127" t="s">
        <v>199</v>
      </c>
      <c r="C53" s="126" t="s">
        <v>68</v>
      </c>
      <c r="D53" s="126" t="s">
        <v>176</v>
      </c>
      <c r="E53" s="126" t="s">
        <v>176</v>
      </c>
      <c r="F53" s="126"/>
      <c r="G53" s="126"/>
      <c r="H53" s="126"/>
      <c r="I53" s="126"/>
      <c r="J53" s="126"/>
      <c r="K53" s="126"/>
      <c r="L53" s="126"/>
    </row>
    <row r="54" spans="2:12" ht="12.75">
      <c r="B54" s="127" t="s">
        <v>200</v>
      </c>
      <c r="C54" s="126" t="s">
        <v>68</v>
      </c>
      <c r="D54" s="126"/>
      <c r="E54" s="126"/>
      <c r="F54" s="126" t="s">
        <v>176</v>
      </c>
      <c r="G54" s="126"/>
      <c r="H54" s="126"/>
      <c r="I54" s="126" t="s">
        <v>176</v>
      </c>
      <c r="J54" s="126" t="s">
        <v>176</v>
      </c>
      <c r="K54" s="126" t="s">
        <v>176</v>
      </c>
      <c r="L54" s="126"/>
    </row>
    <row r="55" spans="2:12" ht="12.75">
      <c r="B55" s="127" t="s">
        <v>201</v>
      </c>
      <c r="C55" s="126" t="s">
        <v>68</v>
      </c>
      <c r="D55" s="126"/>
      <c r="E55" s="126"/>
      <c r="F55" s="126"/>
      <c r="G55" s="126"/>
      <c r="H55" s="126"/>
      <c r="I55" s="126" t="s">
        <v>176</v>
      </c>
      <c r="J55" s="126" t="s">
        <v>176</v>
      </c>
      <c r="K55" s="126" t="s">
        <v>176</v>
      </c>
      <c r="L55" s="126"/>
    </row>
    <row r="56" spans="2:12" ht="12.75">
      <c r="B56" s="127" t="s">
        <v>204</v>
      </c>
      <c r="C56" s="126" t="s">
        <v>68</v>
      </c>
      <c r="D56" s="126"/>
      <c r="E56" s="126"/>
      <c r="F56" s="126"/>
      <c r="G56" s="126" t="s">
        <v>176</v>
      </c>
      <c r="H56" s="126"/>
      <c r="I56" s="126" t="s">
        <v>176</v>
      </c>
      <c r="J56" s="126" t="s">
        <v>176</v>
      </c>
      <c r="K56" s="126" t="s">
        <v>176</v>
      </c>
      <c r="L56" s="126"/>
    </row>
    <row r="57" spans="2:12" ht="12.75">
      <c r="B57" s="127" t="s">
        <v>202</v>
      </c>
      <c r="C57" s="126" t="s">
        <v>68</v>
      </c>
      <c r="D57" s="126"/>
      <c r="E57" s="126" t="s">
        <v>176</v>
      </c>
      <c r="F57" s="126"/>
      <c r="G57" s="126" t="s">
        <v>176</v>
      </c>
      <c r="H57" s="126"/>
      <c r="I57" s="126" t="s">
        <v>176</v>
      </c>
      <c r="J57" s="126" t="s">
        <v>176</v>
      </c>
      <c r="K57" s="126" t="s">
        <v>176</v>
      </c>
      <c r="L57" s="126"/>
    </row>
    <row r="58" spans="2:12" ht="12.75">
      <c r="B58" s="127" t="s">
        <v>203</v>
      </c>
      <c r="C58" s="126" t="s">
        <v>68</v>
      </c>
      <c r="D58" s="126"/>
      <c r="E58" s="126" t="s">
        <v>176</v>
      </c>
      <c r="F58" s="126"/>
      <c r="G58" s="126"/>
      <c r="H58" s="126"/>
      <c r="I58" s="126"/>
      <c r="J58" s="126"/>
      <c r="K58" s="126"/>
      <c r="L58" s="126"/>
    </row>
    <row r="59" spans="2:12" ht="12.75">
      <c r="B59" s="127" t="s">
        <v>190</v>
      </c>
      <c r="C59" s="126"/>
      <c r="D59" s="127">
        <f aca="true" t="shared" si="1" ref="D59:K59">COUNTA(D48:D58)</f>
        <v>3</v>
      </c>
      <c r="E59" s="127">
        <f t="shared" si="1"/>
        <v>5</v>
      </c>
      <c r="F59" s="127">
        <f t="shared" si="1"/>
        <v>3</v>
      </c>
      <c r="G59" s="127">
        <f t="shared" si="1"/>
        <v>5</v>
      </c>
      <c r="H59" s="127">
        <f t="shared" si="1"/>
        <v>1</v>
      </c>
      <c r="I59" s="127">
        <f t="shared" si="1"/>
        <v>8</v>
      </c>
      <c r="J59" s="127">
        <f t="shared" si="1"/>
        <v>9</v>
      </c>
      <c r="K59" s="127">
        <f t="shared" si="1"/>
        <v>9</v>
      </c>
      <c r="L59" s="127">
        <f>SUM(E59:K59)</f>
        <v>40</v>
      </c>
    </row>
    <row r="60" spans="2:12" ht="12.75">
      <c r="B60" s="130" t="s">
        <v>217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27">
        <f>SUM(D59:H59)</f>
        <v>17</v>
      </c>
    </row>
    <row r="88" ht="12.75">
      <c r="E88" s="152" t="s">
        <v>255</v>
      </c>
    </row>
    <row r="89" ht="12.75">
      <c r="E89" s="122" t="s">
        <v>205</v>
      </c>
    </row>
    <row r="91" spans="2:13" ht="153">
      <c r="B91" s="124" t="s">
        <v>169</v>
      </c>
      <c r="C91" s="125" t="s">
        <v>170</v>
      </c>
      <c r="D91" s="125" t="s">
        <v>195</v>
      </c>
      <c r="E91" s="125" t="s">
        <v>181</v>
      </c>
      <c r="F91" s="125" t="s">
        <v>182</v>
      </c>
      <c r="G91" s="125" t="s">
        <v>183</v>
      </c>
      <c r="H91" s="125" t="s">
        <v>187</v>
      </c>
      <c r="I91" s="125" t="s">
        <v>171</v>
      </c>
      <c r="J91" s="125" t="s">
        <v>172</v>
      </c>
      <c r="K91" s="125" t="s">
        <v>173</v>
      </c>
      <c r="L91" s="124" t="s">
        <v>191</v>
      </c>
      <c r="M91" s="123"/>
    </row>
    <row r="92" spans="2:12" ht="12.75">
      <c r="B92" s="127" t="s">
        <v>206</v>
      </c>
      <c r="C92" s="126" t="s">
        <v>38</v>
      </c>
      <c r="D92" s="126"/>
      <c r="E92" s="126" t="s">
        <v>176</v>
      </c>
      <c r="F92" s="126"/>
      <c r="G92" s="126" t="s">
        <v>176</v>
      </c>
      <c r="H92" s="126"/>
      <c r="I92" s="126" t="s">
        <v>176</v>
      </c>
      <c r="J92" s="126" t="s">
        <v>176</v>
      </c>
      <c r="K92" s="126" t="s">
        <v>176</v>
      </c>
      <c r="L92" s="126"/>
    </row>
    <row r="93" spans="2:12" ht="12.75">
      <c r="B93" s="127" t="s">
        <v>207</v>
      </c>
      <c r="C93" s="126" t="s">
        <v>38</v>
      </c>
      <c r="D93" s="126"/>
      <c r="E93" s="126"/>
      <c r="F93" s="126" t="s">
        <v>176</v>
      </c>
      <c r="G93" s="126" t="s">
        <v>176</v>
      </c>
      <c r="H93" s="126"/>
      <c r="I93" s="126"/>
      <c r="J93" s="126"/>
      <c r="K93" s="126" t="s">
        <v>176</v>
      </c>
      <c r="L93" s="126"/>
    </row>
    <row r="94" spans="2:12" ht="12.75">
      <c r="B94" s="127" t="s">
        <v>11</v>
      </c>
      <c r="C94" s="126" t="s">
        <v>38</v>
      </c>
      <c r="D94" s="126"/>
      <c r="E94" s="126"/>
      <c r="F94" s="126"/>
      <c r="G94" s="126"/>
      <c r="H94" s="126"/>
      <c r="I94" s="126"/>
      <c r="J94" s="126"/>
      <c r="K94" s="126"/>
      <c r="L94" s="126"/>
    </row>
    <row r="95" spans="2:12" ht="12.75">
      <c r="B95" s="127" t="s">
        <v>208</v>
      </c>
      <c r="C95" s="126" t="s">
        <v>68</v>
      </c>
      <c r="D95" s="126"/>
      <c r="E95" s="126" t="s">
        <v>176</v>
      </c>
      <c r="F95" s="126"/>
      <c r="G95" s="126" t="s">
        <v>176</v>
      </c>
      <c r="H95" s="126"/>
      <c r="I95" s="126"/>
      <c r="J95" s="126"/>
      <c r="K95" s="126" t="s">
        <v>176</v>
      </c>
      <c r="L95" s="126"/>
    </row>
    <row r="96" spans="2:12" ht="12.75">
      <c r="B96" s="127" t="s">
        <v>209</v>
      </c>
      <c r="C96" s="126" t="s">
        <v>68</v>
      </c>
      <c r="D96" s="126"/>
      <c r="E96" s="126"/>
      <c r="F96" s="126" t="s">
        <v>176</v>
      </c>
      <c r="G96" s="126" t="s">
        <v>176</v>
      </c>
      <c r="H96" s="126"/>
      <c r="I96" s="126"/>
      <c r="J96" s="126"/>
      <c r="K96" s="126" t="s">
        <v>176</v>
      </c>
      <c r="L96" s="126"/>
    </row>
    <row r="97" spans="2:12" ht="12.75">
      <c r="B97" s="127" t="s">
        <v>210</v>
      </c>
      <c r="C97" s="126" t="s">
        <v>211</v>
      </c>
      <c r="D97" s="126"/>
      <c r="E97" s="126" t="s">
        <v>176</v>
      </c>
      <c r="F97" s="126"/>
      <c r="G97" s="126"/>
      <c r="H97" s="126"/>
      <c r="I97" s="126" t="s">
        <v>17</v>
      </c>
      <c r="J97" s="126" t="s">
        <v>176</v>
      </c>
      <c r="K97" s="126" t="s">
        <v>176</v>
      </c>
      <c r="L97" s="126"/>
    </row>
    <row r="98" spans="2:12" ht="12.75">
      <c r="B98" s="127" t="s">
        <v>212</v>
      </c>
      <c r="C98" s="126" t="s">
        <v>68</v>
      </c>
      <c r="D98" s="126"/>
      <c r="E98" s="126" t="s">
        <v>176</v>
      </c>
      <c r="F98" s="126" t="s">
        <v>176</v>
      </c>
      <c r="G98" s="126" t="s">
        <v>176</v>
      </c>
      <c r="H98" s="126"/>
      <c r="I98" s="126"/>
      <c r="J98" s="126"/>
      <c r="K98" s="126" t="s">
        <v>176</v>
      </c>
      <c r="L98" s="126"/>
    </row>
    <row r="99" spans="2:12" ht="12.75">
      <c r="B99" s="127" t="s">
        <v>213</v>
      </c>
      <c r="C99" s="126" t="s">
        <v>68</v>
      </c>
      <c r="D99" s="126"/>
      <c r="E99" s="126" t="s">
        <v>176</v>
      </c>
      <c r="F99" s="126" t="s">
        <v>176</v>
      </c>
      <c r="G99" s="126"/>
      <c r="H99" s="126"/>
      <c r="I99" s="126" t="s">
        <v>176</v>
      </c>
      <c r="J99" s="126" t="s">
        <v>176</v>
      </c>
      <c r="K99" s="126" t="s">
        <v>176</v>
      </c>
      <c r="L99" s="126"/>
    </row>
    <row r="100" spans="2:12" ht="12.75">
      <c r="B100" s="127" t="s">
        <v>214</v>
      </c>
      <c r="C100" s="126" t="s">
        <v>211</v>
      </c>
      <c r="D100" s="126"/>
      <c r="E100" s="126" t="s">
        <v>176</v>
      </c>
      <c r="F100" s="126" t="s">
        <v>176</v>
      </c>
      <c r="G100" s="126" t="s">
        <v>176</v>
      </c>
      <c r="H100" s="126" t="s">
        <v>176</v>
      </c>
      <c r="I100" s="126"/>
      <c r="J100" s="126"/>
      <c r="K100" s="126" t="s">
        <v>176</v>
      </c>
      <c r="L100" s="126"/>
    </row>
    <row r="101" spans="2:12" ht="12.75">
      <c r="B101" s="127" t="s">
        <v>215</v>
      </c>
      <c r="C101" s="126" t="s">
        <v>68</v>
      </c>
      <c r="D101" s="126"/>
      <c r="E101" s="126"/>
      <c r="F101" s="126" t="s">
        <v>176</v>
      </c>
      <c r="G101" s="126" t="s">
        <v>176</v>
      </c>
      <c r="H101" s="126" t="s">
        <v>176</v>
      </c>
      <c r="I101" s="126"/>
      <c r="J101" s="126" t="s">
        <v>176</v>
      </c>
      <c r="K101" s="126" t="s">
        <v>176</v>
      </c>
      <c r="L101" s="126"/>
    </row>
    <row r="102" spans="2:12" ht="12.75">
      <c r="B102" s="127" t="s">
        <v>216</v>
      </c>
      <c r="C102" s="126" t="s">
        <v>68</v>
      </c>
      <c r="D102" s="126"/>
      <c r="E102" s="126"/>
      <c r="F102" s="126"/>
      <c r="G102" s="126"/>
      <c r="H102" s="126"/>
      <c r="I102" s="126"/>
      <c r="J102" s="126" t="s">
        <v>176</v>
      </c>
      <c r="K102" s="126" t="s">
        <v>176</v>
      </c>
      <c r="L102" s="126"/>
    </row>
    <row r="103" spans="2:12" ht="12.75">
      <c r="B103" s="127" t="s">
        <v>190</v>
      </c>
      <c r="C103" s="126"/>
      <c r="D103" s="127">
        <f aca="true" t="shared" si="2" ref="D103:K103">COUNTA(D92:D102)</f>
        <v>0</v>
      </c>
      <c r="E103" s="127">
        <f t="shared" si="2"/>
        <v>6</v>
      </c>
      <c r="F103" s="127">
        <f t="shared" si="2"/>
        <v>6</v>
      </c>
      <c r="G103" s="127">
        <f t="shared" si="2"/>
        <v>7</v>
      </c>
      <c r="H103" s="127">
        <f t="shared" si="2"/>
        <v>2</v>
      </c>
      <c r="I103" s="127">
        <f t="shared" si="2"/>
        <v>3</v>
      </c>
      <c r="J103" s="127">
        <f t="shared" si="2"/>
        <v>5</v>
      </c>
      <c r="K103" s="127">
        <f t="shared" si="2"/>
        <v>10</v>
      </c>
      <c r="L103" s="127">
        <f>SUM(E103:K103)</f>
        <v>39</v>
      </c>
    </row>
    <row r="104" spans="2:12" ht="12.75">
      <c r="B104" s="130" t="s">
        <v>217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27">
        <f>SUM(D103:H103)</f>
        <v>21</v>
      </c>
    </row>
    <row r="132" ht="12.75">
      <c r="E132" s="152" t="s">
        <v>256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30">
      <selection activeCell="D46" sqref="D46"/>
    </sheetView>
  </sheetViews>
  <sheetFormatPr defaultColWidth="9.140625" defaultRowHeight="12.75"/>
  <cols>
    <col min="1" max="1" width="7.57421875" style="0" bestFit="1" customWidth="1"/>
    <col min="2" max="2" width="72.421875" style="0" customWidth="1"/>
  </cols>
  <sheetData>
    <row r="1" spans="1:2" ht="12.75">
      <c r="A1" s="122" t="s">
        <v>307</v>
      </c>
      <c r="B1" s="122" t="s">
        <v>308</v>
      </c>
    </row>
    <row r="3" spans="1:2" ht="12.75">
      <c r="A3" t="s">
        <v>309</v>
      </c>
      <c r="B3" t="s">
        <v>310</v>
      </c>
    </row>
    <row r="4" spans="1:2" ht="12.75">
      <c r="A4" t="s">
        <v>311</v>
      </c>
      <c r="B4" t="s">
        <v>312</v>
      </c>
    </row>
    <row r="5" spans="1:2" ht="12.75">
      <c r="A5" t="s">
        <v>313</v>
      </c>
      <c r="B5" t="s">
        <v>314</v>
      </c>
    </row>
    <row r="6" spans="1:2" ht="12.75">
      <c r="A6" t="s">
        <v>315</v>
      </c>
      <c r="B6" t="s">
        <v>316</v>
      </c>
    </row>
    <row r="7" spans="1:2" ht="12.75">
      <c r="A7" t="s">
        <v>317</v>
      </c>
      <c r="B7" t="s">
        <v>318</v>
      </c>
    </row>
    <row r="8" spans="1:2" ht="12.75">
      <c r="A8" t="s">
        <v>319</v>
      </c>
      <c r="B8" t="s">
        <v>320</v>
      </c>
    </row>
    <row r="9" spans="1:2" ht="12.75">
      <c r="A9" t="s">
        <v>321</v>
      </c>
      <c r="B9" t="s">
        <v>322</v>
      </c>
    </row>
    <row r="10" spans="1:2" ht="12.75">
      <c r="A10" t="s">
        <v>323</v>
      </c>
      <c r="B10" t="s">
        <v>324</v>
      </c>
    </row>
    <row r="11" spans="1:2" ht="12.75">
      <c r="A11" t="s">
        <v>325</v>
      </c>
      <c r="B11" t="s">
        <v>326</v>
      </c>
    </row>
    <row r="12" spans="1:2" ht="12.75">
      <c r="A12" t="s">
        <v>327</v>
      </c>
      <c r="B12" t="s">
        <v>328</v>
      </c>
    </row>
    <row r="13" spans="1:2" ht="12.75">
      <c r="A13" t="s">
        <v>329</v>
      </c>
      <c r="B13" t="s">
        <v>330</v>
      </c>
    </row>
    <row r="14" spans="1:2" ht="12.75">
      <c r="A14" t="s">
        <v>331</v>
      </c>
      <c r="B14" t="s">
        <v>332</v>
      </c>
    </row>
    <row r="15" spans="1:2" ht="12.75">
      <c r="A15" t="s">
        <v>333</v>
      </c>
      <c r="B15" t="s">
        <v>334</v>
      </c>
    </row>
    <row r="16" spans="1:2" ht="12.75">
      <c r="A16" t="s">
        <v>335</v>
      </c>
      <c r="B16" t="s">
        <v>336</v>
      </c>
    </row>
    <row r="17" spans="1:2" ht="12.75">
      <c r="A17" t="s">
        <v>337</v>
      </c>
      <c r="B17" t="s">
        <v>338</v>
      </c>
    </row>
    <row r="18" spans="1:2" ht="12.75">
      <c r="A18" t="s">
        <v>339</v>
      </c>
      <c r="B18" t="s">
        <v>340</v>
      </c>
    </row>
    <row r="19" spans="1:2" ht="12.75">
      <c r="A19" t="s">
        <v>341</v>
      </c>
      <c r="B19" t="s">
        <v>342</v>
      </c>
    </row>
    <row r="20" spans="1:2" ht="12.75">
      <c r="A20" t="s">
        <v>343</v>
      </c>
      <c r="B20" t="s">
        <v>344</v>
      </c>
    </row>
    <row r="21" spans="1:2" ht="12.75">
      <c r="A21" t="s">
        <v>345</v>
      </c>
      <c r="B21" t="s">
        <v>346</v>
      </c>
    </row>
    <row r="22" spans="1:2" ht="12.75">
      <c r="A22" t="s">
        <v>347</v>
      </c>
      <c r="B22" t="s">
        <v>348</v>
      </c>
    </row>
    <row r="23" spans="1:2" ht="12.75">
      <c r="A23" t="s">
        <v>349</v>
      </c>
      <c r="B23" t="s">
        <v>350</v>
      </c>
    </row>
    <row r="24" spans="1:2" ht="12.75">
      <c r="A24" t="s">
        <v>351</v>
      </c>
      <c r="B24" t="s">
        <v>352</v>
      </c>
    </row>
    <row r="25" spans="1:2" ht="12.75">
      <c r="A25" t="s">
        <v>353</v>
      </c>
      <c r="B25" t="s">
        <v>354</v>
      </c>
    </row>
    <row r="26" spans="1:2" ht="12.75">
      <c r="A26" t="s">
        <v>355</v>
      </c>
      <c r="B26" t="s">
        <v>356</v>
      </c>
    </row>
    <row r="27" spans="1:2" ht="12.75">
      <c r="A27" t="s">
        <v>357</v>
      </c>
      <c r="B27" t="s">
        <v>358</v>
      </c>
    </row>
    <row r="28" spans="1:2" ht="12.75">
      <c r="A28" t="s">
        <v>359</v>
      </c>
      <c r="B28" t="s">
        <v>360</v>
      </c>
    </row>
    <row r="29" spans="1:2" ht="12.75">
      <c r="A29" t="s">
        <v>361</v>
      </c>
      <c r="B29" t="s">
        <v>362</v>
      </c>
    </row>
    <row r="30" spans="1:2" ht="12.75">
      <c r="A30" t="s">
        <v>363</v>
      </c>
      <c r="B30" t="s">
        <v>364</v>
      </c>
    </row>
    <row r="31" spans="1:2" ht="12.75">
      <c r="A31" t="s">
        <v>365</v>
      </c>
      <c r="B31" t="s">
        <v>366</v>
      </c>
    </row>
    <row r="32" spans="1:2" ht="12.75">
      <c r="A32" t="s">
        <v>367</v>
      </c>
      <c r="B32" t="s">
        <v>368</v>
      </c>
    </row>
    <row r="33" spans="1:2" ht="12.75">
      <c r="A33" t="s">
        <v>369</v>
      </c>
      <c r="B33" t="s">
        <v>370</v>
      </c>
    </row>
    <row r="34" spans="1:2" ht="12.75">
      <c r="A34" t="s">
        <v>371</v>
      </c>
      <c r="B34" t="s">
        <v>372</v>
      </c>
    </row>
    <row r="35" spans="1:2" ht="12.75">
      <c r="A35" t="s">
        <v>373</v>
      </c>
      <c r="B35" t="s">
        <v>374</v>
      </c>
    </row>
    <row r="36" spans="1:2" ht="12.75">
      <c r="A36" t="s">
        <v>375</v>
      </c>
      <c r="B36" t="s">
        <v>376</v>
      </c>
    </row>
    <row r="37" spans="1:2" ht="12.75">
      <c r="A37" t="s">
        <v>377</v>
      </c>
      <c r="B37" t="s">
        <v>378</v>
      </c>
    </row>
    <row r="38" spans="1:2" ht="12.75">
      <c r="A38" t="s">
        <v>379</v>
      </c>
      <c r="B38" t="s">
        <v>380</v>
      </c>
    </row>
    <row r="39" spans="1:2" ht="12.75">
      <c r="A39" t="s">
        <v>381</v>
      </c>
      <c r="B39" t="s">
        <v>382</v>
      </c>
    </row>
    <row r="40" spans="1:2" ht="12.75">
      <c r="A40" t="s">
        <v>383</v>
      </c>
      <c r="B40" t="s">
        <v>384</v>
      </c>
    </row>
    <row r="41" spans="1:2" ht="12.75">
      <c r="A41" t="s">
        <v>385</v>
      </c>
      <c r="B41" t="s">
        <v>386</v>
      </c>
    </row>
    <row r="42" spans="1:2" ht="12.75">
      <c r="A42" t="s">
        <v>387</v>
      </c>
      <c r="B42" t="s">
        <v>388</v>
      </c>
    </row>
    <row r="55" ht="12.75">
      <c r="B55" s="152" t="s">
        <v>389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2008-09-13T14:21:30Z</cp:lastPrinted>
  <dcterms:created xsi:type="dcterms:W3CDTF">2007-01-12T21:47:27Z</dcterms:created>
  <dcterms:modified xsi:type="dcterms:W3CDTF">2008-10-04T14:23:11Z</dcterms:modified>
  <cp:category/>
  <cp:version/>
  <cp:contentType/>
  <cp:contentStatus/>
</cp:coreProperties>
</file>